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.10.2\Obmen\03_БЮДЖЕТНЫЙ ОТДЕЛ\00_РЕШЕНИЯ О БЮДЖЕТЕ МО ХР\2022 год и  2023-2024\Корректировки\2 корректровка - март 2022\"/>
    </mc:Choice>
  </mc:AlternateContent>
  <bookViews>
    <workbookView xWindow="0" yWindow="0" windowWidth="28800" windowHeight="12345"/>
  </bookViews>
  <sheets>
    <sheet name="ДОХОДЫ " sheetId="2" r:id="rId1"/>
  </sheets>
  <definedNames>
    <definedName name="_xlnm.Print_Titles" localSheetId="0">'ДОХОДЫ '!$10:$10</definedName>
    <definedName name="_xlnm.Print_Area" localSheetId="0">'ДОХОДЫ '!$A$1:$I$402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7" i="2" l="1"/>
  <c r="E17" i="2" l="1"/>
  <c r="E156" i="2"/>
  <c r="E159" i="2"/>
  <c r="E140" i="2"/>
  <c r="E118" i="2"/>
  <c r="E94" i="2"/>
  <c r="E88" i="2"/>
  <c r="E86" i="2"/>
  <c r="E83" i="2"/>
  <c r="I236" i="2" l="1"/>
  <c r="G236" i="2"/>
  <c r="E236" i="2"/>
  <c r="J237" i="2"/>
  <c r="H237" i="2"/>
  <c r="H236" i="2" s="1"/>
  <c r="F237" i="2"/>
  <c r="I221" i="2" l="1"/>
  <c r="E263" i="2"/>
  <c r="E266" i="2"/>
  <c r="E297" i="2"/>
  <c r="E264" i="2"/>
  <c r="E327" i="2"/>
  <c r="F369" i="2"/>
  <c r="G369" i="2"/>
  <c r="H369" i="2"/>
  <c r="I369" i="2"/>
  <c r="E369" i="2"/>
  <c r="I378" i="2" l="1"/>
  <c r="G378" i="2"/>
  <c r="E378" i="2"/>
  <c r="F11" i="2" l="1"/>
  <c r="H11" i="2"/>
  <c r="E361" i="2" l="1"/>
  <c r="F361" i="2"/>
  <c r="F300" i="2" s="1"/>
  <c r="G361" i="2"/>
  <c r="H361" i="2"/>
  <c r="H300" i="2" s="1"/>
  <c r="I361" i="2"/>
  <c r="J361" i="2"/>
  <c r="J336" i="2"/>
  <c r="H336" i="2"/>
  <c r="F336" i="2"/>
  <c r="J310" i="2"/>
  <c r="H310" i="2"/>
  <c r="F310" i="2"/>
  <c r="J323" i="2"/>
  <c r="H323" i="2"/>
  <c r="F323" i="2"/>
  <c r="J365" i="2"/>
  <c r="H365" i="2"/>
  <c r="F365" i="2"/>
  <c r="J356" i="2"/>
  <c r="H356" i="2"/>
  <c r="F356" i="2"/>
  <c r="J359" i="2"/>
  <c r="H359" i="2"/>
  <c r="F359" i="2"/>
  <c r="J320" i="2"/>
  <c r="H320" i="2"/>
  <c r="F320" i="2"/>
  <c r="F302" i="2"/>
  <c r="G302" i="2"/>
  <c r="H302" i="2"/>
  <c r="I302" i="2"/>
  <c r="J302" i="2"/>
  <c r="E302" i="2"/>
  <c r="D344" i="2"/>
  <c r="D343" i="2"/>
  <c r="F330" i="2"/>
  <c r="G330" i="2"/>
  <c r="H330" i="2"/>
  <c r="I330" i="2"/>
  <c r="E330" i="2"/>
  <c r="F347" i="2"/>
  <c r="G347" i="2"/>
  <c r="H347" i="2"/>
  <c r="I347" i="2"/>
  <c r="E347" i="2"/>
  <c r="G355" i="2"/>
  <c r="I355" i="2"/>
  <c r="E355" i="2"/>
  <c r="G344" i="2" l="1"/>
  <c r="E344" i="2"/>
  <c r="F344" i="2"/>
  <c r="I344" i="2"/>
  <c r="H344" i="2"/>
  <c r="D267" i="2" l="1"/>
  <c r="E238" i="2"/>
  <c r="G238" i="2"/>
  <c r="I238" i="2"/>
  <c r="F295" i="2" l="1"/>
  <c r="J221" i="2"/>
  <c r="J223" i="2"/>
  <c r="J225" i="2"/>
  <c r="J227" i="2"/>
  <c r="J229" i="2"/>
  <c r="J230" i="2"/>
  <c r="J231" i="2"/>
  <c r="J233" i="2"/>
  <c r="J235" i="2"/>
  <c r="J239" i="2"/>
  <c r="J238" i="2" s="1"/>
  <c r="J241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H221" i="2"/>
  <c r="H223" i="2"/>
  <c r="H225" i="2"/>
  <c r="H227" i="2"/>
  <c r="H229" i="2"/>
  <c r="H230" i="2"/>
  <c r="H231" i="2"/>
  <c r="H233" i="2"/>
  <c r="H235" i="2"/>
  <c r="H239" i="2"/>
  <c r="H238" i="2" s="1"/>
  <c r="H241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17" i="2"/>
  <c r="E243" i="2"/>
  <c r="E242" i="2" s="1"/>
  <c r="G243" i="2"/>
  <c r="G242" i="2" s="1"/>
  <c r="H242" i="2" s="1"/>
  <c r="I243" i="2"/>
  <c r="I242" i="2" s="1"/>
  <c r="J242" i="2" s="1"/>
  <c r="F297" i="2"/>
  <c r="F221" i="2"/>
  <c r="F223" i="2"/>
  <c r="F225" i="2"/>
  <c r="F227" i="2"/>
  <c r="F229" i="2"/>
  <c r="F230" i="2"/>
  <c r="F231" i="2"/>
  <c r="F233" i="2"/>
  <c r="F235" i="2"/>
  <c r="F239" i="2"/>
  <c r="F238" i="2" s="1"/>
  <c r="F241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6" i="2"/>
  <c r="J219" i="2"/>
  <c r="H219" i="2"/>
  <c r="F219" i="2"/>
  <c r="I226" i="2"/>
  <c r="J226" i="2" s="1"/>
  <c r="F243" i="2" l="1"/>
  <c r="F242" i="2" s="1"/>
  <c r="J243" i="2"/>
  <c r="H243" i="2"/>
  <c r="I86" i="2" l="1"/>
  <c r="G86" i="2"/>
  <c r="E240" i="2" l="1"/>
  <c r="F240" i="2" s="1"/>
  <c r="G240" i="2"/>
  <c r="H240" i="2" s="1"/>
  <c r="I240" i="2"/>
  <c r="J240" i="2" s="1"/>
  <c r="I218" i="2"/>
  <c r="D220" i="2"/>
  <c r="G389" i="2"/>
  <c r="G388" i="2" s="1"/>
  <c r="G387" i="2" s="1"/>
  <c r="G381" i="2"/>
  <c r="G380" i="2" s="1"/>
  <c r="G376" i="2"/>
  <c r="G374" i="2"/>
  <c r="G372" i="2"/>
  <c r="G367" i="2"/>
  <c r="G363" i="2"/>
  <c r="G301" i="2"/>
  <c r="G234" i="2"/>
  <c r="H234" i="2" s="1"/>
  <c r="G232" i="2"/>
  <c r="H232" i="2" s="1"/>
  <c r="G228" i="2"/>
  <c r="G226" i="2"/>
  <c r="H226" i="2" s="1"/>
  <c r="G224" i="2"/>
  <c r="H224" i="2" s="1"/>
  <c r="G222" i="2"/>
  <c r="H222" i="2" s="1"/>
  <c r="G220" i="2"/>
  <c r="H220" i="2" s="1"/>
  <c r="G218" i="2"/>
  <c r="H218" i="2" s="1"/>
  <c r="G216" i="2"/>
  <c r="G213" i="2"/>
  <c r="G211" i="2"/>
  <c r="G209" i="2"/>
  <c r="E389" i="2"/>
  <c r="E388" i="2" s="1"/>
  <c r="E387" i="2" s="1"/>
  <c r="E381" i="2"/>
  <c r="E380" i="2" s="1"/>
  <c r="E376" i="2"/>
  <c r="E374" i="2"/>
  <c r="E372" i="2"/>
  <c r="E367" i="2"/>
  <c r="E363" i="2"/>
  <c r="E301" i="2"/>
  <c r="I389" i="2"/>
  <c r="I388" i="2" s="1"/>
  <c r="I387" i="2" s="1"/>
  <c r="I374" i="2"/>
  <c r="I372" i="2"/>
  <c r="I363" i="2"/>
  <c r="I301" i="2"/>
  <c r="E234" i="2"/>
  <c r="F234" i="2" s="1"/>
  <c r="I234" i="2"/>
  <c r="J234" i="2" s="1"/>
  <c r="E232" i="2"/>
  <c r="F232" i="2" s="1"/>
  <c r="E228" i="2"/>
  <c r="I228" i="2"/>
  <c r="E226" i="2"/>
  <c r="F226" i="2" s="1"/>
  <c r="E224" i="2"/>
  <c r="F224" i="2" s="1"/>
  <c r="I224" i="2"/>
  <c r="J224" i="2" s="1"/>
  <c r="E222" i="2"/>
  <c r="F222" i="2" s="1"/>
  <c r="I222" i="2"/>
  <c r="J222" i="2" s="1"/>
  <c r="E220" i="2"/>
  <c r="F220" i="2" s="1"/>
  <c r="I220" i="2"/>
  <c r="J220" i="2" s="1"/>
  <c r="E218" i="2"/>
  <c r="E216" i="2"/>
  <c r="I216" i="2"/>
  <c r="E209" i="2"/>
  <c r="E208" i="2" s="1"/>
  <c r="I209" i="2"/>
  <c r="E188" i="2"/>
  <c r="G188" i="2"/>
  <c r="I188" i="2"/>
  <c r="E185" i="2"/>
  <c r="G185" i="2"/>
  <c r="I185" i="2"/>
  <c r="E176" i="2"/>
  <c r="G176" i="2"/>
  <c r="I176" i="2"/>
  <c r="E179" i="2"/>
  <c r="G179" i="2"/>
  <c r="I179" i="2"/>
  <c r="E181" i="2"/>
  <c r="G181" i="2"/>
  <c r="I181" i="2"/>
  <c r="E166" i="2"/>
  <c r="E165" i="2" s="1"/>
  <c r="G166" i="2"/>
  <c r="I166" i="2"/>
  <c r="E163" i="2"/>
  <c r="G163" i="2"/>
  <c r="E158" i="2"/>
  <c r="E155" i="2"/>
  <c r="E149" i="2"/>
  <c r="E137" i="2"/>
  <c r="G137" i="2"/>
  <c r="E143" i="2"/>
  <c r="G143" i="2"/>
  <c r="I143" i="2"/>
  <c r="E123" i="2"/>
  <c r="G123" i="2"/>
  <c r="I123" i="2"/>
  <c r="E117" i="2"/>
  <c r="G117" i="2"/>
  <c r="I117" i="2"/>
  <c r="E114" i="2"/>
  <c r="G114" i="2"/>
  <c r="I114" i="2"/>
  <c r="E108" i="2"/>
  <c r="E107" i="2" s="1"/>
  <c r="E99" i="2"/>
  <c r="G99" i="2"/>
  <c r="I99" i="2"/>
  <c r="E96" i="2"/>
  <c r="E93" i="2" s="1"/>
  <c r="G96" i="2"/>
  <c r="G93" i="2" s="1"/>
  <c r="I96" i="2"/>
  <c r="I93" i="2" s="1"/>
  <c r="E91" i="2"/>
  <c r="E90" i="2" s="1"/>
  <c r="G91" i="2"/>
  <c r="G90" i="2" s="1"/>
  <c r="I91" i="2"/>
  <c r="I90" i="2" s="1"/>
  <c r="E82" i="2"/>
  <c r="E81" i="2" s="1"/>
  <c r="G82" i="2"/>
  <c r="G81" i="2" s="1"/>
  <c r="I82" i="2"/>
  <c r="I81" i="2" s="1"/>
  <c r="E79" i="2"/>
  <c r="E78" i="2" s="1"/>
  <c r="G79" i="2"/>
  <c r="G78" i="2" s="1"/>
  <c r="I79" i="2"/>
  <c r="I78" i="2" s="1"/>
  <c r="E76" i="2"/>
  <c r="G76" i="2"/>
  <c r="I76" i="2"/>
  <c r="E74" i="2"/>
  <c r="E64" i="2"/>
  <c r="E63" i="2" s="1"/>
  <c r="G64" i="2"/>
  <c r="I64" i="2"/>
  <c r="E61" i="2"/>
  <c r="G61" i="2"/>
  <c r="I61" i="2"/>
  <c r="E59" i="2"/>
  <c r="G59" i="2"/>
  <c r="I59" i="2"/>
  <c r="E56" i="2"/>
  <c r="G56" i="2"/>
  <c r="I56" i="2"/>
  <c r="E53" i="2"/>
  <c r="G53" i="2"/>
  <c r="I53" i="2"/>
  <c r="E51" i="2"/>
  <c r="G51" i="2"/>
  <c r="I51" i="2"/>
  <c r="E48" i="2"/>
  <c r="G48" i="2"/>
  <c r="I48" i="2"/>
  <c r="E42" i="2"/>
  <c r="G42" i="2"/>
  <c r="I42" i="2"/>
  <c r="E38" i="2"/>
  <c r="G38" i="2"/>
  <c r="I38" i="2"/>
  <c r="E16" i="2"/>
  <c r="E15" i="2" s="1"/>
  <c r="G16" i="2"/>
  <c r="G15" i="2" s="1"/>
  <c r="I16" i="2"/>
  <c r="I15" i="2" s="1"/>
  <c r="E28" i="2"/>
  <c r="G28" i="2"/>
  <c r="I28" i="2"/>
  <c r="I32" i="2"/>
  <c r="E32" i="2"/>
  <c r="G32" i="2"/>
  <c r="E30" i="2"/>
  <c r="G30" i="2"/>
  <c r="I30" i="2"/>
  <c r="D18" i="2"/>
  <c r="H228" i="2" l="1"/>
  <c r="H215" i="2" s="1"/>
  <c r="G215" i="2"/>
  <c r="J228" i="2"/>
  <c r="F228" i="2"/>
  <c r="E215" i="2"/>
  <c r="E300" i="2"/>
  <c r="G300" i="2"/>
  <c r="E371" i="2"/>
  <c r="F215" i="2"/>
  <c r="I37" i="2"/>
  <c r="I36" i="2" s="1"/>
  <c r="G37" i="2"/>
  <c r="G36" i="2" s="1"/>
  <c r="I89" i="2"/>
  <c r="I58" i="2"/>
  <c r="I55" i="2" s="1"/>
  <c r="E73" i="2"/>
  <c r="E72" i="2" s="1"/>
  <c r="I175" i="2"/>
  <c r="G175" i="2"/>
  <c r="E175" i="2"/>
  <c r="E37" i="2"/>
  <c r="E36" i="2" s="1"/>
  <c r="G89" i="2"/>
  <c r="G371" i="2"/>
  <c r="G208" i="2"/>
  <c r="E113" i="2"/>
  <c r="E98" i="2"/>
  <c r="E89" i="2"/>
  <c r="E58" i="2"/>
  <c r="E55" i="2" s="1"/>
  <c r="G58" i="2"/>
  <c r="G55" i="2" s="1"/>
  <c r="E27" i="2"/>
  <c r="E26" i="2" s="1"/>
  <c r="D17" i="2"/>
  <c r="L208" i="2" l="1"/>
  <c r="E112" i="2"/>
  <c r="E14" i="2" s="1"/>
  <c r="G207" i="2"/>
  <c r="E207" i="2"/>
  <c r="E206" i="2" s="1"/>
  <c r="D19" i="2"/>
  <c r="D167" i="2"/>
  <c r="D164" i="2"/>
  <c r="D159" i="2"/>
  <c r="D156" i="2"/>
  <c r="D146" i="2"/>
  <c r="D136" i="2"/>
  <c r="D118" i="2"/>
  <c r="D92" i="2"/>
  <c r="D77" i="2"/>
  <c r="D75" i="2"/>
  <c r="D69" i="2"/>
  <c r="D54" i="2"/>
  <c r="D52" i="2"/>
  <c r="D49" i="2"/>
  <c r="D46" i="2"/>
  <c r="D43" i="2"/>
  <c r="D39" i="2"/>
  <c r="D182" i="2"/>
  <c r="D187" i="2"/>
  <c r="D190" i="2"/>
  <c r="E13" i="2" l="1"/>
  <c r="E11" i="2" s="1"/>
  <c r="D24" i="2"/>
  <c r="D20" i="2"/>
  <c r="D144" i="2" l="1"/>
  <c r="D124" i="2"/>
  <c r="D115" i="2"/>
  <c r="D97" i="2"/>
  <c r="D391" i="2"/>
  <c r="D290" i="2"/>
  <c r="D264" i="2" l="1"/>
  <c r="D138" i="2"/>
  <c r="D304" i="2" l="1"/>
  <c r="D186" i="2" l="1"/>
  <c r="D150" i="2"/>
  <c r="D341" i="2" l="1"/>
  <c r="D342" i="2"/>
  <c r="D16" i="2" l="1"/>
  <c r="D102" i="2" l="1"/>
  <c r="D83" i="2"/>
  <c r="D85" i="2"/>
  <c r="D87" i="2"/>
  <c r="D88" i="2"/>
  <c r="D282" i="2"/>
  <c r="D372" i="2"/>
  <c r="D297" i="2" l="1"/>
  <c r="D233" i="2"/>
  <c r="D286" i="2"/>
  <c r="D338" i="2" l="1"/>
  <c r="D302" i="2" s="1"/>
  <c r="D231" i="2"/>
  <c r="D389" i="2" l="1"/>
  <c r="D235" i="2" l="1"/>
  <c r="D33" i="2"/>
  <c r="D32" i="2" s="1"/>
  <c r="D31" i="2"/>
  <c r="D29" i="2"/>
  <c r="D364" i="2" l="1"/>
  <c r="D224" i="2" l="1"/>
  <c r="D28" i="2" l="1"/>
  <c r="D30" i="2"/>
  <c r="D34" i="2"/>
  <c r="D79" i="2" l="1"/>
  <c r="D78" i="2" s="1"/>
  <c r="I397" i="2" l="1"/>
  <c r="I396" i="2" s="1"/>
  <c r="G397" i="2"/>
  <c r="G396" i="2" s="1"/>
  <c r="G206" i="2" s="1"/>
  <c r="D397" i="2"/>
  <c r="D396" i="2" s="1"/>
  <c r="D388" i="2"/>
  <c r="D387" i="2" s="1"/>
  <c r="I381" i="2"/>
  <c r="I380" i="2" s="1"/>
  <c r="D381" i="2"/>
  <c r="D380" i="2" s="1"/>
  <c r="I376" i="2"/>
  <c r="D376" i="2"/>
  <c r="D374" i="2"/>
  <c r="I367" i="2"/>
  <c r="I300" i="2" s="1"/>
  <c r="D367" i="2"/>
  <c r="D363" i="2"/>
  <c r="D361" i="2"/>
  <c r="D301" i="2"/>
  <c r="D273" i="2"/>
  <c r="D240" i="2"/>
  <c r="D238" i="2"/>
  <c r="D234" i="2"/>
  <c r="I232" i="2"/>
  <c r="D232" i="2"/>
  <c r="D230" i="2"/>
  <c r="D228" i="2"/>
  <c r="D226" i="2"/>
  <c r="D222" i="2"/>
  <c r="D218" i="2"/>
  <c r="D216" i="2"/>
  <c r="I213" i="2"/>
  <c r="D213" i="2"/>
  <c r="I211" i="2"/>
  <c r="D211" i="2"/>
  <c r="D209" i="2"/>
  <c r="I204" i="2"/>
  <c r="I201" i="2" s="1"/>
  <c r="G204" i="2"/>
  <c r="G201" i="2" s="1"/>
  <c r="D204" i="2"/>
  <c r="D201" i="2" s="1"/>
  <c r="I199" i="2"/>
  <c r="G199" i="2"/>
  <c r="D199" i="2"/>
  <c r="I197" i="2"/>
  <c r="G197" i="2"/>
  <c r="D197" i="2"/>
  <c r="I195" i="2"/>
  <c r="G195" i="2"/>
  <c r="D195" i="2"/>
  <c r="D188" i="2"/>
  <c r="D185" i="2"/>
  <c r="D181" i="2"/>
  <c r="D179" i="2"/>
  <c r="D176" i="2"/>
  <c r="I172" i="2"/>
  <c r="G172" i="2"/>
  <c r="D172" i="2"/>
  <c r="I170" i="2"/>
  <c r="G170" i="2"/>
  <c r="D170" i="2"/>
  <c r="I168" i="2"/>
  <c r="G168" i="2"/>
  <c r="D168" i="2"/>
  <c r="D166" i="2"/>
  <c r="I163" i="2"/>
  <c r="D163" i="2"/>
  <c r="I158" i="2"/>
  <c r="G158" i="2"/>
  <c r="D158" i="2"/>
  <c r="I155" i="2"/>
  <c r="G155" i="2"/>
  <c r="D155" i="2"/>
  <c r="I149" i="2"/>
  <c r="G149" i="2"/>
  <c r="D149" i="2"/>
  <c r="D143" i="2"/>
  <c r="I137" i="2"/>
  <c r="D137" i="2"/>
  <c r="D135" i="2"/>
  <c r="D123" i="2"/>
  <c r="D117" i="2"/>
  <c r="D114" i="2"/>
  <c r="I108" i="2"/>
  <c r="I107" i="2" s="1"/>
  <c r="I98" i="2" s="1"/>
  <c r="G108" i="2"/>
  <c r="G107" i="2" s="1"/>
  <c r="G98" i="2" s="1"/>
  <c r="D108" i="2"/>
  <c r="D107" i="2" s="1"/>
  <c r="D99" i="2"/>
  <c r="D96" i="2"/>
  <c r="D93" i="2" s="1"/>
  <c r="D91" i="2"/>
  <c r="D90" i="2" s="1"/>
  <c r="D86" i="2"/>
  <c r="D82" i="2" s="1"/>
  <c r="D81" i="2" s="1"/>
  <c r="D76" i="2"/>
  <c r="I74" i="2"/>
  <c r="G74" i="2"/>
  <c r="D74" i="2"/>
  <c r="I68" i="2"/>
  <c r="I63" i="2" s="1"/>
  <c r="G68" i="2"/>
  <c r="G63" i="2" s="1"/>
  <c r="D68" i="2"/>
  <c r="D64" i="2"/>
  <c r="D61" i="2"/>
  <c r="D59" i="2"/>
  <c r="D56" i="2"/>
  <c r="D53" i="2"/>
  <c r="D51" i="2"/>
  <c r="D48" i="2"/>
  <c r="D42" i="2"/>
  <c r="D38" i="2"/>
  <c r="I27" i="2"/>
  <c r="I26" i="2" s="1"/>
  <c r="G27" i="2"/>
  <c r="G26" i="2" s="1"/>
  <c r="D27" i="2"/>
  <c r="D26" i="2" s="1"/>
  <c r="D15" i="2"/>
  <c r="J232" i="2" l="1"/>
  <c r="J215" i="2" s="1"/>
  <c r="I215" i="2"/>
  <c r="D243" i="2"/>
  <c r="D242" i="2" s="1"/>
  <c r="D215" i="2" s="1"/>
  <c r="I113" i="2"/>
  <c r="G165" i="2"/>
  <c r="I371" i="2"/>
  <c r="G113" i="2"/>
  <c r="D175" i="2"/>
  <c r="D371" i="2"/>
  <c r="D63" i="2"/>
  <c r="G73" i="2"/>
  <c r="G72" i="2" s="1"/>
  <c r="D300" i="2"/>
  <c r="I208" i="2"/>
  <c r="D98" i="2"/>
  <c r="D113" i="2"/>
  <c r="D58" i="2"/>
  <c r="D55" i="2" s="1"/>
  <c r="I73" i="2"/>
  <c r="I72" i="2" s="1"/>
  <c r="D194" i="2"/>
  <c r="D37" i="2"/>
  <c r="D36" i="2" s="1"/>
  <c r="D73" i="2"/>
  <c r="D72" i="2" s="1"/>
  <c r="G194" i="2"/>
  <c r="I194" i="2"/>
  <c r="D208" i="2"/>
  <c r="D165" i="2"/>
  <c r="I165" i="2"/>
  <c r="D89" i="2"/>
  <c r="M208" i="2" l="1"/>
  <c r="I112" i="2"/>
  <c r="I14" i="2" s="1"/>
  <c r="G112" i="2"/>
  <c r="G14" i="2" s="1"/>
  <c r="D112" i="2"/>
  <c r="D14" i="2" s="1"/>
  <c r="I207" i="2"/>
  <c r="I206" i="2" s="1"/>
  <c r="D207" i="2"/>
  <c r="D206" i="2" s="1"/>
  <c r="G13" i="2" l="1"/>
  <c r="G11" i="2" s="1"/>
  <c r="I13" i="2"/>
  <c r="I11" i="2" s="1"/>
  <c r="D13" i="2"/>
</calcChain>
</file>

<file path=xl/sharedStrings.xml><?xml version="1.0" encoding="utf-8"?>
<sst xmlns="http://schemas.openxmlformats.org/spreadsheetml/2006/main" count="748" uniqueCount="649">
  <si>
    <t xml:space="preserve">  </t>
  </si>
  <si>
    <t xml:space="preserve">                                                                                     </t>
  </si>
  <si>
    <t xml:space="preserve">                                                                                                                 </t>
  </si>
  <si>
    <t>Поступления доходов в бюджет</t>
  </si>
  <si>
    <t>муниципального образования "Хасынский городской округ"</t>
  </si>
  <si>
    <t>Код бюджетной классификации</t>
  </si>
  <si>
    <t>Наименование доходов</t>
  </si>
  <si>
    <t>2022</t>
  </si>
  <si>
    <t>2023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</si>
  <si>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</si>
  <si>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</si>
  <si>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</si>
  <si>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</si>
  <si>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</si>
  <si>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</si>
  <si>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</si>
  <si>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</si>
  <si>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</si>
  <si>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</si>
  <si>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</si>
  <si>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</si>
  <si>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</si>
  <si>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</si>
  <si>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</si>
  <si>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1 01 02070 01 0000 110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</si>
  <si>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</si>
  <si>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</si>
  <si>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</si>
  <si>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</si>
  <si>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</si>
  <si>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</si>
  <si>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</si>
  <si>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</si>
  <si>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</si>
  <si>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</si>
  <si>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</si>
  <si>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</si>
  <si>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</si>
  <si>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</si>
  <si>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</si>
  <si>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</si>
  <si>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</si>
  <si>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</si>
  <si>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</si>
  <si>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</si>
  <si>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</si>
  <si>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</si>
  <si>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</si>
  <si>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</si>
  <si>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</si>
  <si>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</si>
  <si>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</si>
  <si>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1 05 01030 01 0000 110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</si>
  <si>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</si>
  <si>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</si>
  <si>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</si>
  <si>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</si>
  <si>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</si>
  <si>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</si>
  <si>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</si>
  <si>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</si>
  <si>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</si>
  <si>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</si>
  <si>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</si>
  <si>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</si>
  <si>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</si>
  <si>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</si>
  <si>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</si>
  <si>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</si>
  <si>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</si>
  <si>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</si>
  <si>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 xml:space="preserve">1 06 01000 00 0000 110
</t>
  </si>
  <si>
    <t xml:space="preserve">Налог на имущество физических лиц
</t>
  </si>
  <si>
    <t xml:space="preserve">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</si>
  <si>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</si>
  <si>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1 06 06000 00 0000 110</t>
  </si>
  <si>
    <t>Земельный налог</t>
  </si>
  <si>
    <t>1 06 06030 00 0000 110</t>
  </si>
  <si>
    <t>Земельный налог с организаций</t>
  </si>
  <si>
    <t xml:space="preserve">1 06 06032 04 0000 110
</t>
  </si>
  <si>
    <t xml:space="preserve">Земельный налог с организаций, обладающих земельным участком, расположенным в границах городских округов
</t>
  </si>
  <si>
    <t>1 06 06040 00 0000 110</t>
  </si>
  <si>
    <t>Земельный налог с физических лиц</t>
  </si>
  <si>
    <t xml:space="preserve">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</si>
  <si>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</si>
  <si>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</si>
  <si>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</si>
  <si>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</si>
  <si>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</si>
  <si>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</si>
  <si>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</si>
  <si>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</si>
  <si>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свершаемых консульскими учреждениями Российской Федерации)</t>
  </si>
  <si>
    <t>1 08 04020 01 01 0000 110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</si>
  <si>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</si>
  <si>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</si>
  <si>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</si>
  <si>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</si>
  <si>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</si>
  <si>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</si>
  <si>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</si>
  <si>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</si>
  <si>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</si>
  <si>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</si>
  <si>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</si>
  <si>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</si>
  <si>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</si>
  <si>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</si>
  <si>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</si>
  <si>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</si>
  <si>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</si>
  <si>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1 11 09000 00 0000 000</t>
  </si>
  <si>
    <t>1 11 09040 00 0000 120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</si>
  <si>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</si>
  <si>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</si>
  <si>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</si>
  <si>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</si>
  <si>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</si>
  <si>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</si>
  <si>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</si>
  <si>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</si>
  <si>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</si>
  <si>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</si>
  <si>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</si>
  <si>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</si>
  <si>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</si>
  <si>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</si>
  <si>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</si>
  <si>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</si>
  <si>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</si>
  <si>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</si>
  <si>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</si>
  <si>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</si>
  <si>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1 13 01990 000 0000 130</t>
  </si>
  <si>
    <t xml:space="preserve">Прочие доходы от оказания платных услуг (работ) 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</si>
  <si>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</si>
  <si>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</si>
  <si>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1 13 02000 00 0000 130</t>
  </si>
  <si>
    <t xml:space="preserve">Доходы от компенсации затрат государства 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</si>
  <si>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</si>
  <si>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</si>
  <si>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</si>
  <si>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</si>
  <si>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1 13 02990 00 0000 130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</si>
  <si>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</si>
  <si>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</si>
  <si>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</si>
  <si>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</si>
  <si>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</si>
  <si>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</si>
  <si>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</si>
  <si>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</si>
  <si>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</si>
  <si>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</si>
  <si>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</si>
  <si>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</si>
  <si>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</si>
  <si>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</si>
  <si>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</si>
  <si>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</si>
  <si>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</si>
  <si>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</si>
  <si>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</si>
  <si>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</si>
  <si>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</si>
  <si>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</si>
  <si>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</si>
  <si>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</si>
  <si>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</si>
  <si>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</si>
  <si>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</si>
  <si>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</si>
  <si>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</si>
  <si>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</si>
  <si>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</si>
  <si>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</si>
  <si>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</si>
  <si>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</si>
  <si>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</si>
  <si>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</si>
  <si>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</si>
  <si>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</si>
  <si>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1 16 01060 01 0000 140</t>
  </si>
  <si>
    <t>1 16 01063 01 0000 140</t>
  </si>
  <si>
    <t>1 16 01064 01 0000 140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</si>
  <si>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</si>
  <si>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</si>
  <si>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</si>
  <si>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</si>
  <si>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</si>
  <si>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</si>
  <si>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</si>
  <si>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</si>
  <si>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1 16 01083 01 0000 140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</si>
  <si>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</si>
  <si>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</si>
  <si>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</si>
  <si>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</si>
  <si>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</si>
  <si>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</si>
  <si>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</si>
  <si>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</si>
  <si>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</si>
  <si>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</si>
  <si>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</si>
  <si>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</si>
  <si>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1 16 01104 01 0000 140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</si>
  <si>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выявленные должностными лицами органов муниципального контроля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</si>
  <si>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</si>
  <si>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</si>
  <si>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</si>
  <si>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</si>
  <si>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</si>
  <si>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</si>
  <si>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1 16 01120 01 0000 140</t>
  </si>
  <si>
    <t>1 16 01123 01 0000 140</t>
  </si>
  <si>
    <t>1 16 01130 01 0000 140</t>
  </si>
  <si>
    <t>1 16 01133 01 0000 140</t>
  </si>
  <si>
    <t>1 16 01134 01 0000 140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</si>
  <si>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</si>
  <si>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</si>
  <si>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</si>
  <si>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</si>
  <si>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</si>
  <si>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1 16 01144 01 0000 140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</si>
  <si>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</si>
  <si>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1 16 01150 01 0000 140</t>
  </si>
  <si>
    <t>1 16 01153 01 0000 140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</si>
  <si>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</si>
  <si>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</si>
  <si>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1 16 01157 01 0000 140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</si>
  <si>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</si>
  <si>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</si>
  <si>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</si>
  <si>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</si>
  <si>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</si>
  <si>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</si>
  <si>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1 16 01174 01 0000 140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</si>
  <si>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выявленные должностными лицами органов муниципального контроля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</si>
  <si>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</si>
  <si>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</si>
  <si>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</si>
  <si>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</si>
  <si>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1 16 01184 01 0000 140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</si>
  <si>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выявленные должностными лицами органов муниципального контроля</t>
  </si>
  <si>
    <t>1 16 01190 01 0000 140</t>
  </si>
  <si>
    <t>1 16 01193 01 0000 140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</si>
  <si>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</si>
  <si>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</si>
  <si>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</si>
  <si>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1 16 01203 01 0000 140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</si>
  <si>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</si>
  <si>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</si>
  <si>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1 16 01210 01 0000 140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</si>
  <si>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</si>
  <si>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</si>
  <si>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</si>
  <si>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</si>
  <si>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</si>
  <si>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</si>
  <si>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</si>
  <si>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</si>
  <si>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</si>
  <si>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</si>
  <si>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</si>
  <si>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</si>
  <si>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1 16 07030 00 0000 140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</si>
  <si>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</si>
  <si>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1 16 07030 04 0000 140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</si>
  <si>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</si>
  <si>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1 16 07040 00 0000 140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</si>
  <si>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</si>
  <si>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1 16 07040 04 0000 140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</si>
  <si>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</si>
  <si>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</si>
  <si>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</si>
  <si>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</si>
  <si>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</si>
  <si>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</si>
  <si>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</si>
  <si>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</si>
  <si>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</si>
  <si>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</si>
  <si>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</si>
  <si>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</si>
  <si>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</si>
  <si>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</si>
  <si>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</si>
  <si>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</si>
  <si>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</si>
  <si>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</si>
  <si>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</si>
  <si>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</si>
  <si>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1 16 10080 00 0000 140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</si>
  <si>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</si>
  <si>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1 16 10081 04 0000 140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</si>
  <si>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</si>
  <si>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</si>
  <si>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</si>
  <si>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 xml:space="preserve">1 16 10120 00 0000 140
</t>
  </si>
  <si>
    <t xml:space="preserve">1 16 10123 01 0000 140
</t>
  </si>
  <si>
    <t xml:space="preserve">1 16 10129 01 0000 140
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</si>
  <si>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</si>
  <si>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</si>
  <si>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</si>
  <si>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</si>
  <si>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</si>
  <si>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1 16 11060 01 0000 140</t>
  </si>
  <si>
    <t>Платежи, уплачиваемые в целях возмещения вреда, причиняемого автомобильным дорогам</t>
  </si>
  <si>
    <t>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</si>
  <si>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</si>
  <si>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</si>
  <si>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</si>
  <si>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</si>
  <si>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</si>
  <si>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</si>
  <si>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</si>
  <si>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</si>
  <si>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</si>
  <si>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</si>
  <si>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</si>
  <si>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</si>
  <si>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</si>
  <si>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1 17 14000 00 0000 150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</si>
  <si>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</si>
  <si>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</si>
  <si>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</si>
  <si>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</si>
  <si>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</si>
  <si>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1 18 01410 04 0000 150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</si>
  <si>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</si>
  <si>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1 18 01420 04 0000 150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</si>
  <si>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</si>
  <si>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1 18 02000 00 0000 150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</si>
  <si>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</si>
  <si>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1 18 02400 04 0000 150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</si>
  <si>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</si>
  <si>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</si>
  <si>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</si>
  <si>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</si>
  <si>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</si>
  <si>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</si>
  <si>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</si>
  <si>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</si>
  <si>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</si>
  <si>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</si>
  <si>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</si>
  <si>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</si>
  <si>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</si>
  <si>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</si>
  <si>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</si>
  <si>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2 02 19999 00 0000 151</t>
  </si>
  <si>
    <t>Прочие дотации</t>
  </si>
  <si>
    <t>2 02 19999 04 0000 151</t>
  </si>
  <si>
    <t>Прочие дотации бюджетам городских округов</t>
  </si>
  <si>
    <t>2 02 20000 00 0000 150</t>
  </si>
  <si>
    <t xml:space="preserve">Субсидии бюджетам бюджетной системы Российской Федерации (межбюджетные субсидии)
</t>
  </si>
  <si>
    <t xml:space="preserve">2 02 25081 00 0000 150
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</si>
  <si>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</si>
  <si>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2 02 25081 04 0000 150
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</si>
  <si>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</si>
  <si>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</si>
  <si>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</si>
  <si>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 xml:space="preserve">2 02 25169 00 0000 150
</t>
  </si>
  <si>
    <t xml:space="preserve">2 02 25169 04 0000 150
</t>
  </si>
  <si>
    <t>2 02 25210 00 0000 150</t>
  </si>
  <si>
    <t>2 02 25210 04 0000 150</t>
  </si>
  <si>
    <t xml:space="preserve">2 02 25304 00 0000 150
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</si>
  <si>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</si>
  <si>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</si>
  <si>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2 02 25467 00 0000 150
</t>
  </si>
  <si>
    <t xml:space="preserve">2 02 25467 04 0000 150
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</si>
  <si>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</si>
  <si>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</si>
  <si>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</si>
  <si>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2 02 25511 00 0000 150</t>
  </si>
  <si>
    <t>Субсидии бюджетам на проведение комплексных кадастровых работ</t>
  </si>
  <si>
    <t>2 02 25511 04 0000 150</t>
  </si>
  <si>
    <t xml:space="preserve">2 02 25519 00 0000 150
</t>
  </si>
  <si>
    <t xml:space="preserve">2 02 25519 04 0000 150
</t>
  </si>
  <si>
    <t>2 02 25555 00 0000 150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</si>
  <si>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</si>
  <si>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2 02 25555 04 0000 150</t>
  </si>
  <si>
    <t>2 02 25576 00 0000 150</t>
  </si>
  <si>
    <t>Субсидии бюджетам на обеспечение комплексного развития сельских территорий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</si>
  <si>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</si>
  <si>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</si>
  <si>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2 02 29999 00 0000 150</t>
  </si>
  <si>
    <t>Прочие субсидии</t>
  </si>
  <si>
    <t>2 02 29999 04 0000 150</t>
  </si>
  <si>
    <t xml:space="preserve">Прочие субсидии бюджетам городских округов </t>
  </si>
  <si>
    <t>Субсидии на выравнивание бюджетной обеспеченности городских округов по реализации расходных обязательств по оплате коммунальных услуг муниципальными учреждениями и выплате заработной платы работникам  муниципальных учреждений на реализацию  подпрограммы  "Создание условий для эффективного выполнения полномочий органами местного самоуправления муниципальных образований Магаданской области" на 2015 - 2020 годы" государственной программы Магаданской области "Управление государственными финансами Магаданской области на 2015 - 2020 годы"</t>
  </si>
  <si>
    <t xml:space="preserve">Субсидии бюджетам городских округов на  работы по предупреждению и ликвидации последствий негативного воздействия вод на водотоках, расположенных в границах муниципальных образований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
</t>
  </si>
  <si>
    <t xml:space="preserve">Субсидии бюджетам городских округов на организацию отдыха и оздоровления детей в лагерях дневного пребывания в рамках подпрограммы "Организация и обеспечение отдыха и оздоровления детей в Магаданской области" государственной программы Магаданской области "Развитие образования в Магаданской области" </t>
  </si>
  <si>
    <t>Субсидии бюджетам городских округов Магаданской области для реализации мероприятий восстановление и модернизация муниципального имущества в городских округах Магаданской области  в рамках реализации подпрограммы "Содействие муниципальным образованиям в оптимизации системы расселения в Магаданской области"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области"</t>
  </si>
  <si>
    <t xml:space="preserve">Субсидии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организациях, в рамках реализации подпрограммы "Повышение качества и доступности дошкольного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</si>
  <si>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Субсидии бюджетам городских округов на 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 в рамках государственной программы Магаданской области «Социально-экономическое и культурное развитие коренных малочисленных народов Севера, проживающих на территории Магаданской области» </t>
  </si>
  <si>
    <t>Субсидии бюджетам городских округов на разработку и корректировку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</t>
  </si>
  <si>
    <t>Субсидии бюджетам городских округов на рекультивацию хвостохранилища Карамкенского ГМК с ликвидацией гидротехнических сооружений (на руч. Туманный в пос. Карамкен) в рамках реализации подпрограммы "Экологическая безопасность и охрана окружающей среды Магаданской области" государственной программы Магаданской области "Природные ресурсы и экология Магаданской области"</t>
  </si>
  <si>
    <t>2 02 29999 04 0000 151</t>
  </si>
  <si>
    <t xml:space="preserve">Субсидии бюджетам муниципальных образований на уточнение проектной документации "Дамба обвалования на р.Хасын у пос.Палатка", проверка достоверности определения сметной стоимости строительства" в рамках реализации основного мероприятия "Проектные и экспертные работы" подпрограммы "Развитие водохозяйственного комплекса Магаданской области" на 2014 - 2020 годы" государственной программы Магаданской  области "Природные ресурсы и  экология Магаданской области" на 2014 - 2020 годы" </t>
  </si>
  <si>
    <t>Субсидии бюджетам муниципальных образований на рекультивацию хвостохранилища Карамкенского ГМК с ликвидацией гидротехнических сооружений (на руч.Туманый в пос.Карамкен" в рамках реализации основного мероприятия "Ликвидация накопленного экологического ущерба и меры по предотвращению негативного воздействия на окружающую среду"  подпрограммы "Экологическая безопасность и охрана окружающей среды Магаданской области" на 2014 - 2020 годы " государственной программы Магаданской  области "Природные ресурсы и  экология Магаданской области" на 2014 - 2020 годы"</t>
  </si>
  <si>
    <t>Субсидии бюджетам муниципальных образований на ликвидацию несанкционированных свалок на территории городских округов Магаданской области" в рамках реализации основного мероприятия "Развитие инфраструктуры обращения с отходами" государственной программы Магаданской  области "Развитие системы обращения с отходами производства и потребления на территории Магаданской области"</t>
  </si>
  <si>
    <t>Субсидии бюджетам городских округов на реализацию мероприятий подпрограммы "Оказание поддержки в обеспечении жильем молодых семей" на 2014 - 2020 годы" государственной программы Магаданской области "Обеспечение доступным и комфортным жильем жителей Магаданской области" на 2014 - 2020 годы"</t>
  </si>
  <si>
    <t xml:space="preserve">Субсидии бюджетам городских округов на питание (завтрак или полдник) детей из многодетных семей, обучающихся в образовательных организациях, в рамках подпрограммы "Развитие общего образования в Магаданской области" государственной программы Магаданской области "Развитие образования в Магаданской области" </t>
  </si>
  <si>
    <t>Субсидии городских округов на проведение мероприятий по благоустройству в рамках реализации основного мероприятия "Предоставление субсидий бюджетам муниципальных образований" подпрограммы "Оказание содействия муниципальным образованиям Магаданской области в проведении мероприятий по благоустройству территорий муниципальных образований на 2014 - 2020 годы"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2014 - 2020 годы"</t>
  </si>
  <si>
    <t>Субсидии бюджетам городских округов на реализацию мероприятий поддержки развития малого и среднего предпринимательства в рамках подпрограммы "Развитие малого и среднего предпринимательства в Магаданской области на 2014-2020 годы" государственной программы Магаданской области "Экономическое развитие и инновационная экономика Магаданской области на 2014-2020 годы"</t>
  </si>
  <si>
    <t>Субсидии бюджетам городских округов на совершенствование питания учащихся в общеобразовательных организациях в рамках подпрограммы "Развитие общего образования в Магаданской области"  государственной программы Магаданской области "Развитие образования в Магаданской области"</t>
  </si>
  <si>
    <t>Субсидии бюджетам городских округов на разработку проектно-сметной документации и выполнения инженерных изысканий по объекту: "Реконструкция свалки ТКО в поселке Стекольный в межмуниципальный полигон ТКО" в рамках основного мероприятия "Разработка проектно-сметной документации ( в том числе проведение инженерных изысканий) по объектам размещения отходов" государственной программы Магаданской области "Развитие системы обращения с отходами производства и потребления на территории Магаданской области" на 2015 - 2020 годы"</t>
  </si>
  <si>
    <t>Субсидии бюджетам городских округов на организацию дополнительного профессионального образования для лиц, замещающих муниципальные должности в Магаданской области в рамках реализации подпрограммы "Дополнительное профессиональное образование лиц, замещающих муниципальные должности в Магаданской области"    государственной  программы  Магаданской области "Развитие системы государственного и муниципального управления и профилактика коррупции в Магаданской области"</t>
  </si>
  <si>
    <t xml:space="preserve">Субсидии бюджетам городских округов на проведение кадастровых работ в отношении земельных участков, планируемых к выделению гражданам, имеющим трех и более детей в рамках реализации подпрограммы "Обеспечение мер социальной поддержки отдельных категорий граждан" государственной программы Магаданской области "Развитие социальной защиты населения Магаданской области" </t>
  </si>
  <si>
    <t>Субсидии бюджетам городских округов на оказание содействия в обеспечении организации электро-, тепло-, и водоснабжения населения, водоотведения, снабжения населения топливом, а также создание безопасных и благоприятных условий проживания граждан в рамках государственной программы Магаданской области "Обеспечение доступным и комфортным жильем жителей Магаданской области" на 2014-2020 годы"</t>
  </si>
  <si>
    <t xml:space="preserve">Субсидии бюджетам городских округов на возмещение расходов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расположенных на территории Магаданской области, в рамках подпрограммы «Повышение качества и доступности дошкольного образования в Магаданской области» 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</si>
  <si>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приобретение школьного автобуса в рамках реализации  основного мероприятия "Развитие государственных и муниципальных организаций общего образования" подпрограммы "Развитие общего образования в Магаданской области" на 2014-2020 годы" государственной программы Магаданской области "Развитие образования в Магаданской области" на 2014 - 2020 годы" </t>
  </si>
  <si>
    <t xml:space="preserve">Субсидии бюджетам городских округов на реализацию мероприятий поддержки развития малого и среднего предпринимательства в рамках реализации основного мероприятия " Финансово-кредитная поддержка малого и среднего предпринимательства" подпрограммы  «Развитие малого и среднего предпринимательства в Магаданской области» на 2014-2020 годы» государственной программы Магаданской области «Экономическое развитие и инновационная экономика Магаданской области» на 2014-2020 годы» 
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</si>
  <si>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 в рамках реализации основного мероприятия "Формирование современной городской среды при реализации проектов благоустройства территорий муниципальных образований"  подпрограммы "Оказание содействия муниципальным образованиям Магаданской области в проведении мероприятий по благоустройству территории муниципальных образований на 2014 - 2020 годы" 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2014-2020 годы"</t>
  </si>
  <si>
    <t xml:space="preserve"> Субсидий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 рамках подпрограммы "Развитие общего образования в Магаданской области" государственной программы Магаданской области "Развитие образования в Магаданской области"  на 2019 год</t>
  </si>
  <si>
    <t>Субсидии бюджетам городских округов на реализацию муниципальных программ  направленных на материально-техническое обеспечение и материальное стимулирование народных дружинников</t>
  </si>
  <si>
    <t>Субсидии бюджетам городских округов на софинансирование капитальных вложений в объекты государственной (муниципальной) собственности</t>
  </si>
  <si>
    <t>Субсидии бюджетам городских округов на реализацию мероприятий в сфере укрепления гражданского единства, гармонизации межнациональных отношений, профилактики экстремизма</t>
  </si>
  <si>
    <t>Субсидии бюджетам городских округов на модернизацию пищеблоков образовательных организаций Магаданской области</t>
  </si>
  <si>
    <t>Субсидии бюджетам городских округов на осуществлений мероприятий по предупреждению и борьбе с коронавирусом на территории Магаданской области в общеобразовательных учреждениях</t>
  </si>
  <si>
    <t xml:space="preserve">Субсидии бюджетам городских округов на приобретение школьных автобусов в рамках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</si>
  <si>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софинансирование расходов на повышение оплаты труда работникам муниципальных учреждений культуры и педагогическим работникам муниципальных организаций дополнительного образования детей, в целях исполнения поручений Президента Российской Федерации по сохранению достигнутого соотношения между уровнем их оплаты труда и уровнем средней заработной платы в регионе </t>
  </si>
  <si>
    <t xml:space="preserve"> 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</si>
  <si>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</si>
  <si>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</si>
  <si>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</si>
  <si>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</si>
  <si>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</si>
  <si>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государственных полномочий по выплате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</si>
  <si>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 xml:space="preserve">Субвенции бюджетам городских округов на осуществление государственных полномочий  Магаданской области по организации мероприятий при осуществлении деятельности по обращению с животными без владельцев 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</si>
  <si>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</si>
  <si>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>Субвенции бюджетам городских округов на реализацию Закона Магаданской области от 28.12.2009 года № 1220-ОЗ "О наделении органов местного самоуправления государственными полномочиями Магаданской области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</si>
  <si>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 xml:space="preserve">Субвенции бюджетам городских округов на осуществление государственных полномочий по созданию и организации деятельности комиссий по делам несовершеннолетних и защите их прав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</si>
  <si>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осуществление государственных полномочий по организации и осуществлению деятельности по опеке и попечительству над несовершеннолетними в рамках подпрограммы "Управление развитием отрасли образования в Магаданской области" государственной программы Магаданской области "Развитие образования в Магаданской области" </t>
  </si>
  <si>
    <t>Субвенции бюджетам городских округов 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"Развитие социальной защиты населения Магаданской области"</t>
  </si>
  <si>
    <t xml:space="preserve">Субвенции бюджетам городских округов на финансовое обеспечение муниципальных дошкольных организаций в рамках подпрограммы "Управление  развитием отрасли образования в Магаданской области"  государственной программы Магаданской области "Развитие образования в Магаданской области"  </t>
  </si>
  <si>
    <t xml:space="preserve">Субвенции бюджетам городских округов на финансовое обеспечение муниципальных общеобразовательных организаций в части реализации ими государственного стандарта общего образования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</si>
  <si>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</si>
  <si>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</si>
  <si>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«Управление развитием отрасли физической культуры и спорта» государственной программы Магаданской области «Развитие физической культуры и спорта в Магаданской области»</t>
  </si>
  <si>
    <t>Субвенции бюджетам городских округов для финансового обеспечения благоустроенными жилыми помещениями детей-сирот, детей, оставшихся без попечения родителей, лиц из числа детей-сирот, детей, оставшихся без попечения родителей, по договорам найма специализированных жилых помещений в рамках подпрограммы «Обеспечение жилыми помещениями детей-сирот, детей, оставшихся без попечения родителей, лиц из числа детей-сирот, детей, оставшихся без попечения родителей, в Магаданской области» государственной программы Магаданской области «Развитие образования в Магаданской области»</t>
  </si>
  <si>
    <t xml:space="preserve">Субвенции бюджетам  городских округов на осуществление государственных полномочий по созданию и организации деятельности административных комиссий </t>
  </si>
  <si>
    <t xml:space="preserve">Субвенции бюджетам городских округов на обеспечение осуществления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Магаданской области" государственной программы Магаданской области "Развитие образования в Магаданской области"  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</si>
  <si>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</si>
  <si>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</si>
  <si>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</si>
  <si>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</si>
  <si>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2 02 35930 00 0000 150</t>
  </si>
  <si>
    <t>Субвенции бюджетам на государственную регистрацию актов гражданского состояния</t>
  </si>
  <si>
    <t>2 02 35930 04 0000 150</t>
  </si>
  <si>
    <t xml:space="preserve">Субвенции бюджетам городских округов на государственную регистрацию актов гражданского состояния </t>
  </si>
  <si>
    <t>2 02 35469 00 0000 150</t>
  </si>
  <si>
    <t>Субвенции бюджетам на проведение Всероссийской переписи населения 2020 года</t>
  </si>
  <si>
    <t>2 02 35469 04 0000 150</t>
  </si>
  <si>
    <t>Субвенции бюджетам городских округов на проведение Всероссийской переписи населения 2020 года</t>
  </si>
  <si>
    <t>2 02 40000 00 0000 150</t>
  </si>
  <si>
    <t xml:space="preserve">Иные межбюджетные трансферты 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</si>
  <si>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</si>
  <si>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</si>
  <si>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</si>
  <si>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</si>
  <si>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2 02 45454 00 0000 150</t>
  </si>
  <si>
    <t>Межбюджетные трансферты, передаваемые бюджетам на создание модельных муниципальных библиотек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</si>
  <si>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</si>
  <si>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</si>
  <si>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2 02 49999 00 0000 150</t>
  </si>
  <si>
    <t xml:space="preserve">Прочие межбюджетные  трансферты, передаваемые бюджетам </t>
  </si>
  <si>
    <t>2 02 49999 04 0000 150</t>
  </si>
  <si>
    <t xml:space="preserve">Прочие межбюджетные  трансферты, передаваемые бюджетам городских округов 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</si>
  <si>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</si>
  <si>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</si>
  <si>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2 02 49999 04 0000 151</t>
  </si>
  <si>
    <t>Иные межбюджетные трансферты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 в рамках реализации подпрограммы "Управление развитием отрасли образования в Магаданской области" на 2014-2020 годы" государственной программы Магаданской области "Развитие образования в Магаданской области" на 2014-2020 годы"</t>
  </si>
  <si>
    <t xml:space="preserve">Иные межбюджетные трансферты бюджетам городских округов на благоустройство их территорий и развитие объектов социально-культурного назначения и выполнение мероприятий в сфере жилищно-коммунального хозяйства </t>
  </si>
  <si>
    <t>2 03 00000 00 0000 000</t>
  </si>
  <si>
    <t>Безвозмездные поступления от государственных (муниципальных) организациях</t>
  </si>
  <si>
    <t>2 03 04000 04 0000 150</t>
  </si>
  <si>
    <t>Безвозмездные поступления от государственных (муниципальных) организаций в бюджеты городских округов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</si>
  <si>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</si>
  <si>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</si>
  <si>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от государственных (муниципальных) организаций в бюджеты городских округов на реализацию общественно значимых проектов по благоустройству сельских территорий </t>
  </si>
  <si>
    <t xml:space="preserve">Прочие безвозмездные поступления от государственных (муниципальных) организаций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</si>
  <si>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от государственных (муниципальных) организаций в бюджеты городских округов на модернизацию электросетевого комплекса пос. Талая Хасынского городского округа</t>
  </si>
  <si>
    <t>Прочие безвозмездные поступления от государственных (муниципальных) организаций в бюджеты городских округов на благоустройство территорий городских округов, в том числе снос строений и сооружений, негативно влияющих на визуальный облик территорий</t>
  </si>
  <si>
    <t>2 07 00000 00 0000 000</t>
  </si>
  <si>
    <t xml:space="preserve">Прочие безвозмездные поступления </t>
  </si>
  <si>
    <t>2 07 04000 04 0000 150</t>
  </si>
  <si>
    <t>Прочие безвозмездные поступления в бюджеты городских округов</t>
  </si>
  <si>
    <t>2 07 04010 04 0000 150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</si>
  <si>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</si>
  <si>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</si>
  <si>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</si>
  <si>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2 07 04050 04 0000 150</t>
  </si>
  <si>
    <t xml:space="preserve">Прочие безвозмездные поступления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</si>
  <si>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в бюджеты городских округов на строительство и реконструкцию объектов коммунальной, инженерной инфраструктуры, изношенных сетей тепло-, водоснабжения в поселке Талая</t>
  </si>
  <si>
    <t>Прочие безвозмездные поступления в бюджеты городских округов на техническое перевооружение высоковольтных линий и трансформаторных подстанций, дизель-генераторов в поселке Талая</t>
  </si>
  <si>
    <t xml:space="preserve"> </t>
  </si>
  <si>
    <t xml:space="preserve">                                   Приложение № 1</t>
  </si>
  <si>
    <t xml:space="preserve">                                   к решению Собрания представителей  </t>
  </si>
  <si>
    <t xml:space="preserve">                                   Хасынского городского округа</t>
  </si>
  <si>
    <t>тыс.руб.</t>
  </si>
  <si>
    <t>1 11 09044 04 0000 120</t>
  </si>
  <si>
    <t>1 03 02231 01 0000 110</t>
  </si>
  <si>
    <t xml:space="preserve">1 03 02241 01 0000 110
</t>
  </si>
  <si>
    <t>1 03 02251 01 0000 110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</si>
  <si>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</si>
  <si>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1 03 02261 01 0000 110</t>
  </si>
  <si>
    <t>Субсидии бюджетам городских округов на реализацию мероприятий по обеспечению жильем молодых семей</t>
  </si>
  <si>
    <t xml:space="preserve">Субсидии бюджетам городских округов на питание детей-инвалидов, детей с ограниченными возможностями здоровья в рамках реализации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</si>
  <si>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>2 02 25255 00 0000 150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</si>
  <si>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</si>
  <si>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</si>
  <si>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</si>
  <si>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Субсидии бюджетам городских округов на укрепление материально-технической базы в области физической культуры и спорта </t>
  </si>
  <si>
    <t>203 04099 04 0000 150</t>
  </si>
  <si>
    <t>Прочие безвозмездные поступления от государственных (муниципальных) организаций в бюджеты городских округов на модернизацию и реконструкцию объектов инженерной и коммунальной инфраструктуры в населенных пунктах Магаданской области</t>
  </si>
  <si>
    <t>Субсидии бюджетам городских округов на осуществление мероприятий по реконструкции и капитальному ремонту общеобразовательных организаций</t>
  </si>
  <si>
    <t>Субсидии бюджетам городских округов на осуществление мероприятий по реконструкции и капитальному ремонту дошкольных и других образовательных организаций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</si>
  <si>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</si>
  <si>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1 16 10100 00 0000 140</t>
  </si>
  <si>
    <t>Субсидии бюджетам городских округов на реализацию мероприятий по поддержке социально ориентированных некоммерческих организаций</t>
  </si>
  <si>
    <t>2 02 45100 00 0000 150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</si>
  <si>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</si>
  <si>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</si>
  <si>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</si>
  <si>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Субсидия бюджетам городских округов на осуществление мероприятий по реконструкции и капитальному ремонту объектов спорта</t>
  </si>
  <si>
    <t xml:space="preserve">Субсидия бюджетам городских округов на обустройство автогородков в дошкольных образовательных организациях </t>
  </si>
  <si>
    <t>2 02 99999 04 0000 150</t>
  </si>
  <si>
    <t xml:space="preserve">Субсидии бюджетам муниципальных образований на реализацию мероприятий по оборудованию квартир отдельных категорий граждан автономными пожарными извещателями </t>
  </si>
  <si>
    <t xml:space="preserve">Субсидии бюджетам муниципальных образований на повышение уровня пожарной защищенности образовательных организаций </t>
  </si>
  <si>
    <t>Субсидия бюджетам городских округов на разработку технической документации гидротехнических сооружений, расположенных на территории Магаданской области и находящихся в собственности муниципальных образований</t>
  </si>
  <si>
    <t xml:space="preserve">Прочие безвозмездные поступления от государственных (муниципальных) организаций в бюджеты городских округов на формирование комфортной городской среды Магаданской области </t>
  </si>
  <si>
    <t xml:space="preserve">Субсидии бюджетам муниципальных образований на повышение уровня антитеррористической защищенности образовательных организаций </t>
  </si>
  <si>
    <t>Субсидии бюджетам городских округов на возмещение расходов по коммунальным услугам физкультурно-оздоровительным и спортивным комплексам</t>
  </si>
  <si>
    <t>Субсидии бюджетам городских округов на синхронизацию мероприятий по благоустройству территорий муниципальных образований с мероприятиями, реализуемыми в рамках национальных проектов, с программами (планами) строительства (реконструкции, ремонта) объектов недвижимого имущества и инженерных сетей</t>
  </si>
  <si>
    <t>2024</t>
  </si>
  <si>
    <t xml:space="preserve"> 2021 год в редакции от 20.10.2021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</si>
  <si>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</si>
  <si>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1 01 02050 01 0000 110</t>
  </si>
  <si>
    <t>Налог на доходы физических лиц в отношении доходов в виде процентов, полученных по вкладам (остаткам на счетах) в банках, находящихся на территории Российской Федерации</t>
  </si>
  <si>
    <t>1 01 02060 01 0000 110</t>
  </si>
  <si>
    <t>Налог на доходы физических лиц в отношении доходов в виде процента (купона, дисконта), получаемых по обращающимся облигациям российских организаций, номинированным в рублях и эмитированным после 1 января 2017 года, а также доходов в виде суммы процентов по государственным казначейским обязательствам, облигациям и другим государственным ценным бумагам бывшего СССР, государств - участников Союзного государства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</si>
  <si>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</si>
  <si>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</si>
  <si>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Налог на доходы физических лиц в части суммы налога, относящейся к части налоговой базы, превышающей 5 миллионов рублей, уплачиваемой на основании налогового уведомления налогоплательщиками, для которых выполнено условие, предусмотренное абзацем четвертым пункта 6 статьи 228 Налогового кодекса Российской Федерации</t>
  </si>
  <si>
    <t>1 01 02120 01 0000 110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</si>
  <si>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</si>
  <si>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</si>
  <si>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</si>
  <si>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</si>
  <si>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</si>
  <si>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</si>
  <si>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</si>
  <si>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</si>
  <si>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</si>
  <si>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</si>
  <si>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</si>
  <si>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</si>
  <si>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</si>
  <si>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</si>
  <si>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</si>
  <si>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</si>
  <si>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</si>
  <si>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</si>
  <si>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</si>
  <si>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</si>
  <si>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</si>
  <si>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</si>
  <si>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</si>
  <si>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</si>
  <si>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</si>
  <si>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</si>
  <si>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</si>
  <si>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</si>
  <si>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</si>
  <si>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</si>
  <si>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</si>
  <si>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</si>
  <si>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</si>
  <si>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</si>
  <si>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</si>
  <si>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</si>
  <si>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</si>
  <si>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</si>
  <si>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</si>
  <si>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</si>
  <si>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проведение комплексных кадастровых работ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</si>
  <si>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</si>
  <si>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</si>
  <si>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R3040</t>
  </si>
  <si>
    <t>R5760</t>
  </si>
  <si>
    <t>73П08</t>
  </si>
  <si>
    <t>73С20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</si>
  <si>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педагогическим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 (Закон Магаданской области от 30.12.2004 №524-ОЗ)</t>
  </si>
  <si>
    <t>Целевая статья  (МБТ)</t>
  </si>
  <si>
    <t>0701</t>
  </si>
  <si>
    <t>0702</t>
  </si>
  <si>
    <t>0703</t>
  </si>
  <si>
    <t>0709</t>
  </si>
  <si>
    <t>ДК</t>
  </si>
  <si>
    <t>Библиотека</t>
  </si>
  <si>
    <t>ФОКИ</t>
  </si>
  <si>
    <t>Спортшкола</t>
  </si>
  <si>
    <t>120</t>
  </si>
  <si>
    <t>240</t>
  </si>
  <si>
    <t>22 0 2 53030</t>
  </si>
  <si>
    <t>R0820</t>
  </si>
  <si>
    <t>74020 (несовершеннолетние)</t>
  </si>
  <si>
    <t>74070 (доп.меры соц.поддержки пед.работникам)</t>
  </si>
  <si>
    <t>74050 (стандарт общего образов)</t>
  </si>
  <si>
    <t>74120 (дошкольники)</t>
  </si>
  <si>
    <t xml:space="preserve">Субсидии бюджетам городских округов на реализацию мероприятий по поддержке граждан и их объединений, участвующих в охране общественного порядка в рамках государственной программы Магаданской области "Обеспечение безопасности, профилактика правонарушений и противодействие незаконному обороту наркотических средств в Магаданской области" </t>
  </si>
  <si>
    <t xml:space="preserve">Субсидии бюджетам городских округов на развитие учреждений культурно- досугового типа </t>
  </si>
  <si>
    <t>04 4 A1 55130</t>
  </si>
  <si>
    <t>L4670</t>
  </si>
  <si>
    <t xml:space="preserve">Субсидии бюджетам городских округов на организацию питания в образовательных учреждениях </t>
  </si>
  <si>
    <t>13 5 01 61110</t>
  </si>
  <si>
    <t>13 D F2 55550</t>
  </si>
  <si>
    <t>52 0 17 73080</t>
  </si>
  <si>
    <t>22 A 02 66180</t>
  </si>
  <si>
    <t>02 3 E1 51690</t>
  </si>
  <si>
    <t>8,9% софинансирование м/б</t>
  </si>
  <si>
    <t>УКЗ</t>
  </si>
  <si>
    <t xml:space="preserve">на 2022 год и плановый период 2023 и 2024 годов </t>
  </si>
  <si>
    <t>1 11 05074 04 0000 120</t>
  </si>
  <si>
    <t xml:space="preserve">Доходы от сдачи в аренду имущества, составляющего казну городских округов (за исключением земельных участков)
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</si>
  <si>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</si>
  <si>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</si>
  <si>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</si>
  <si>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Строительство ЛЭП 35 кВ с ПС 220 кВ и ПС 35 кВ для электроснабжения п.Талая</t>
  </si>
  <si>
    <t>Единая субвенция бюджетам городских округов</t>
  </si>
  <si>
    <t>74060 (доп. меры соц.поддержки работникам)</t>
  </si>
  <si>
    <t xml:space="preserve">Дефицит </t>
  </si>
  <si>
    <t>ИТОГО</t>
  </si>
  <si>
    <t xml:space="preserve">                                   от __________________   № _____</t>
  </si>
  <si>
    <t>2 02 45505 00 0000 150</t>
  </si>
  <si>
    <t>2 02 45505 04 0000 150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</si>
  <si>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</si>
  <si>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</si>
  <si>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2 02 36900 00 0000 150</t>
  </si>
  <si>
    <t>Единая субвенция местным бюджетам из бюджета субъекта  Российской Федерации</t>
  </si>
  <si>
    <t>2 02 36900 04 0000 150</t>
  </si>
  <si>
    <t xml:space="preserve">Единая субвенция бюджетам городских округов из бюджета субъекта Российской Федерации </t>
  </si>
  <si>
    <t>Прочие межбюджетные трансферты бюджетам городских округов на ремонт спортивного зала МБОУ "Средняя общеобразовательная школа" п. Стекольный" в рамках реализации регионального проекта "Успех каждого ребенка" национального проекта образование,  за счет средств резервного фонда Правительства Магаданской области (постановление 173-пп от 04.03.2022)</t>
  </si>
  <si>
    <t xml:space="preserve"> 2 02 25 513 04 0000 150</t>
  </si>
  <si>
    <t xml:space="preserve"> 2 02 25 513 00 0000 150</t>
  </si>
  <si>
    <t>Субсидии бюджетам на развитие сети учреждений культурно-досугового типа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</si>
</sst>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р_._-;\-* #,##0.00_р_._-;_-* &quot;-&quot;??_р_._-;_-@_-"/>
    <numFmt numFmtId="164" formatCode="#,##0.0_ ;\-#,##0.0\ "/>
    <numFmt numFmtId="165" formatCode="_-* #,##0.0_р_._-;\-* #,##0.0_р_._-;_-* &quot;-&quot;??_р_._-;_-@_-"/>
    <numFmt numFmtId="166" formatCode="0.0"/>
    <numFmt numFmtId="167" formatCode="_-* #,##0.000_р_._-;\-* #,##0.000_р_._-;_-* &quot;-&quot;??_р_._-;_-@_-"/>
    <numFmt numFmtId="168" formatCode="0.000"/>
    <numFmt numFmtId="169" formatCode="_-* #,##0.0\ _₽_-;\-* #,##0.0\ _₽_-;_-* &quot;-&quot;?\ _₽_-;_-@_-"/>
    <numFmt numFmtId="170" formatCode="_-* #,##0.0_р_._-;\-* #,##0.0_р_._-;_-* &quot;-&quot;?_р_._-;_-@_-"/>
  </numFmts>
  <fonts count="11" x14ac:knownFonts="1"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Bookman Old Style"/>
      <family val="1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49" fontId="0" fillId="0" borderId="0">
      <alignment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19">
    <xf numFmtId="49" fontId="0" fillId="0" borderId="0" xfId="0">
      <alignment wrapText="1"/>
    </xf>
    <xf numFmtId="164" fontId="0" fillId="0" borderId="0" xfId="1" applyNumberFormat="1" applyFont="1" applyAlignment="1">
      <alignment wrapText="1"/>
    </xf>
    <xf numFmtId="49" fontId="2" fillId="0" borderId="1" xfId="0" applyFont="1" applyBorder="1" applyAlignment="1">
      <alignment horizontal="center" vertical="top" wrapText="1"/>
    </xf>
    <xf numFmtId="49" fontId="2" fillId="0" borderId="1" xfId="0" applyFont="1" applyBorder="1" applyAlignment="1">
      <alignment horizontal="center" vertical="justify" wrapText="1"/>
    </xf>
    <xf numFmtId="0" fontId="2" fillId="0" borderId="1" xfId="0" applyNumberFormat="1" applyFont="1" applyBorder="1" applyAlignment="1">
      <alignment horizontal="center" vertical="top" wrapText="1"/>
    </xf>
    <xf numFmtId="165" fontId="4" fillId="0" borderId="1" xfId="2" applyNumberFormat="1" applyFont="1" applyFill="1" applyBorder="1"/>
    <xf numFmtId="0" fontId="1" fillId="0" borderId="1" xfId="3" applyBorder="1" applyAlignment="1">
      <alignment horizontal="center" vertical="top"/>
    </xf>
    <xf numFmtId="165" fontId="2" fillId="0" borderId="1" xfId="2" applyNumberFormat="1" applyFont="1" applyFill="1" applyBorder="1"/>
    <xf numFmtId="165" fontId="2" fillId="0" borderId="1" xfId="1" applyNumberFormat="1" applyFont="1" applyFill="1" applyBorder="1" applyAlignment="1">
      <alignment horizontal="center"/>
    </xf>
    <xf numFmtId="167" fontId="2" fillId="0" borderId="1" xfId="2" applyNumberFormat="1" applyFont="1" applyFill="1" applyBorder="1"/>
    <xf numFmtId="165" fontId="2" fillId="0" borderId="1" xfId="2" applyNumberFormat="1" applyFont="1" applyFill="1" applyBorder="1" applyAlignment="1">
      <alignment wrapText="1"/>
    </xf>
    <xf numFmtId="165" fontId="4" fillId="0" borderId="1" xfId="2" applyNumberFormat="1" applyFont="1" applyFill="1" applyBorder="1" applyAlignment="1">
      <alignment wrapText="1"/>
    </xf>
    <xf numFmtId="0" fontId="4" fillId="0" borderId="1" xfId="3" applyFont="1" applyBorder="1" applyAlignment="1">
      <alignment horizontal="center" vertical="top"/>
    </xf>
    <xf numFmtId="43" fontId="4" fillId="0" borderId="1" xfId="2" applyFont="1" applyFill="1" applyBorder="1" applyAlignment="1">
      <alignment wrapText="1"/>
    </xf>
    <xf numFmtId="0" fontId="2" fillId="0" borderId="1" xfId="3" applyFont="1" applyBorder="1" applyAlignment="1">
      <alignment horizontal="center" vertical="top"/>
    </xf>
    <xf numFmtId="43" fontId="2" fillId="0" borderId="1" xfId="2" applyFont="1" applyFill="1" applyBorder="1" applyAlignment="1">
      <alignment wrapText="1"/>
    </xf>
    <xf numFmtId="0" fontId="2" fillId="0" borderId="1" xfId="3" applyFont="1" applyBorder="1" applyAlignment="1">
      <alignment horizontal="center" vertical="top" wrapText="1"/>
    </xf>
    <xf numFmtId="49" fontId="3" fillId="0" borderId="0" xfId="0" applyFont="1" applyAlignment="1">
      <alignment horizontal="right" vertical="justify"/>
    </xf>
    <xf numFmtId="49" fontId="0" fillId="0" borderId="0" xfId="0" applyAlignment="1">
      <alignment horizontal="right" vertical="justify"/>
    </xf>
    <xf numFmtId="49" fontId="0" fillId="0" borderId="0" xfId="0" applyAlignment="1">
      <alignment horizontal="right"/>
    </xf>
    <xf numFmtId="0" fontId="0" fillId="0" borderId="0" xfId="0" applyNumberFormat="1">
      <alignment wrapText="1"/>
    </xf>
    <xf numFmtId="49" fontId="0" fillId="0" borderId="0" xfId="0" applyFill="1">
      <alignment wrapText="1"/>
    </xf>
    <xf numFmtId="49" fontId="2" fillId="0" borderId="0" xfId="0" applyFont="1" applyFill="1" applyAlignment="1">
      <alignment horizontal="center" wrapText="1"/>
    </xf>
    <xf numFmtId="49" fontId="0" fillId="0" borderId="0" xfId="0" applyFont="1" applyFill="1">
      <alignment wrapText="1"/>
    </xf>
    <xf numFmtId="49" fontId="2" fillId="0" borderId="0" xfId="0" applyFont="1" applyFill="1" applyAlignment="1">
      <alignment horizont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1" fillId="0" borderId="1" xfId="3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justify" vertical="top" wrapText="1"/>
    </xf>
    <xf numFmtId="0" fontId="5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horizontal="justify" vertical="top" wrapText="1"/>
    </xf>
    <xf numFmtId="0" fontId="4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vertical="top" wrapText="1"/>
    </xf>
    <xf numFmtId="49" fontId="3" fillId="0" borderId="0" xfId="0" applyFont="1" applyFill="1">
      <alignment wrapText="1"/>
    </xf>
    <xf numFmtId="0" fontId="0" fillId="0" borderId="0" xfId="1" applyNumberFormat="1" applyFont="1" applyAlignment="1">
      <alignment wrapText="1"/>
    </xf>
    <xf numFmtId="0" fontId="0" fillId="0" borderId="0" xfId="1" applyNumberFormat="1" applyFont="1" applyFill="1" applyAlignment="1">
      <alignment wrapText="1"/>
    </xf>
    <xf numFmtId="0" fontId="0" fillId="0" borderId="0" xfId="0" applyNumberFormat="1" applyBorder="1">
      <alignment wrapText="1"/>
    </xf>
    <xf numFmtId="165" fontId="2" fillId="0" borderId="0" xfId="2" applyNumberFormat="1" applyFont="1" applyFill="1" applyBorder="1"/>
    <xf numFmtId="49" fontId="7" fillId="2" borderId="0" xfId="0" applyFont="1" applyFill="1" applyBorder="1" applyAlignment="1">
      <alignment wrapText="1"/>
    </xf>
    <xf numFmtId="165" fontId="1" fillId="0" borderId="0" xfId="1" applyNumberFormat="1" applyFont="1" applyFill="1" applyBorder="1" applyAlignment="1"/>
    <xf numFmtId="168" fontId="0" fillId="0" borderId="0" xfId="1" applyNumberFormat="1" applyFont="1" applyAlignment="1">
      <alignment wrapText="1"/>
    </xf>
    <xf numFmtId="49" fontId="0" fillId="0" borderId="0" xfId="0" applyBorder="1">
      <alignment wrapText="1"/>
    </xf>
    <xf numFmtId="43" fontId="1" fillId="0" borderId="0" xfId="1" applyFont="1" applyFill="1" applyBorder="1" applyAlignment="1"/>
    <xf numFmtId="49" fontId="2" fillId="0" borderId="0" xfId="0" applyFont="1">
      <alignment wrapText="1"/>
    </xf>
    <xf numFmtId="49" fontId="2" fillId="0" borderId="0" xfId="0" applyFont="1" applyFill="1">
      <alignment wrapText="1"/>
    </xf>
    <xf numFmtId="164" fontId="2" fillId="0" borderId="0" xfId="1" applyNumberFormat="1" applyFont="1" applyFill="1" applyAlignment="1">
      <alignment wrapText="1"/>
    </xf>
    <xf numFmtId="49" fontId="8" fillId="0" borderId="0" xfId="0" applyFont="1" applyAlignment="1"/>
    <xf numFmtId="49" fontId="8" fillId="0" borderId="0" xfId="0" applyFont="1" applyAlignment="1">
      <alignment horizontal="center"/>
    </xf>
    <xf numFmtId="49" fontId="9" fillId="0" borderId="1" xfId="0" applyFont="1" applyBorder="1" applyAlignment="1">
      <alignment horizontal="center" vertical="center" wrapText="1"/>
    </xf>
    <xf numFmtId="49" fontId="9" fillId="0" borderId="1" xfId="0" applyFont="1" applyFill="1" applyBorder="1" applyAlignment="1">
      <alignment horizontal="center" vertical="center" wrapText="1"/>
    </xf>
    <xf numFmtId="49" fontId="2" fillId="0" borderId="1" xfId="0" applyFont="1" applyBorder="1" applyAlignment="1">
      <alignment horizontal="right" vertical="justify"/>
    </xf>
    <xf numFmtId="0" fontId="4" fillId="0" borderId="1" xfId="0" applyNumberFormat="1" applyFont="1" applyFill="1" applyBorder="1" applyAlignment="1">
      <alignment horizontal="justify" wrapText="1"/>
    </xf>
    <xf numFmtId="165" fontId="4" fillId="0" borderId="1" xfId="1" applyNumberFormat="1" applyFont="1" applyFill="1" applyBorder="1" applyAlignment="1"/>
    <xf numFmtId="49" fontId="4" fillId="0" borderId="1" xfId="0" applyFont="1" applyBorder="1" applyAlignment="1">
      <alignment horizontal="center"/>
    </xf>
    <xf numFmtId="49" fontId="2" fillId="0" borderId="1" xfId="0" applyFont="1" applyBorder="1" applyAlignment="1">
      <alignment horizontal="center" vertical="top"/>
    </xf>
    <xf numFmtId="165" fontId="2" fillId="0" borderId="1" xfId="1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/>
    <xf numFmtId="49" fontId="4" fillId="0" borderId="1" xfId="0" applyFont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justify" vertical="top" wrapText="1"/>
    </xf>
    <xf numFmtId="43" fontId="2" fillId="0" borderId="1" xfId="1" applyFont="1" applyFill="1" applyBorder="1" applyAlignment="1"/>
    <xf numFmtId="49" fontId="2" fillId="0" borderId="2" xfId="0" applyFont="1" applyBorder="1" applyAlignment="1">
      <alignment horizontal="center" vertical="top"/>
    </xf>
    <xf numFmtId="43" fontId="2" fillId="0" borderId="1" xfId="1" applyFont="1" applyFill="1" applyBorder="1" applyAlignment="1">
      <alignment wrapText="1"/>
    </xf>
    <xf numFmtId="166" fontId="2" fillId="0" borderId="1" xfId="0" applyNumberFormat="1" applyFont="1" applyFill="1" applyBorder="1">
      <alignment wrapText="1"/>
    </xf>
    <xf numFmtId="166" fontId="4" fillId="0" borderId="1" xfId="1" applyNumberFormat="1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right" wrapText="1"/>
    </xf>
    <xf numFmtId="166" fontId="2" fillId="0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wrapText="1"/>
    </xf>
    <xf numFmtId="0" fontId="4" fillId="0" borderId="1" xfId="3" applyFont="1" applyBorder="1" applyAlignment="1">
      <alignment horizontal="center" vertical="center"/>
    </xf>
    <xf numFmtId="0" fontId="4" fillId="0" borderId="1" xfId="3" applyFont="1" applyFill="1" applyBorder="1" applyAlignment="1">
      <alignment horizontal="justify" vertical="center" wrapText="1"/>
    </xf>
    <xf numFmtId="0" fontId="2" fillId="0" borderId="1" xfId="3" applyFont="1" applyBorder="1" applyAlignment="1">
      <alignment horizontal="justify" vertical="top" wrapText="1"/>
    </xf>
    <xf numFmtId="0" fontId="2" fillId="0" borderId="3" xfId="3" applyFont="1" applyBorder="1" applyAlignment="1">
      <alignment horizontal="center" vertical="top" wrapText="1"/>
    </xf>
    <xf numFmtId="0" fontId="2" fillId="0" borderId="1" xfId="3" applyFont="1" applyBorder="1" applyAlignment="1">
      <alignment horizontal="center" vertical="center"/>
    </xf>
    <xf numFmtId="3" fontId="4" fillId="0" borderId="1" xfId="3" applyNumberFormat="1" applyFont="1" applyBorder="1" applyAlignment="1">
      <alignment horizontal="center" vertical="top"/>
    </xf>
    <xf numFmtId="165" fontId="4" fillId="0" borderId="1" xfId="2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justify" vertical="center" wrapText="1"/>
    </xf>
    <xf numFmtId="165" fontId="2" fillId="0" borderId="1" xfId="2" applyNumberFormat="1" applyFont="1" applyFill="1" applyBorder="1" applyAlignment="1">
      <alignment vertical="center"/>
    </xf>
    <xf numFmtId="49" fontId="10" fillId="0" borderId="0" xfId="0" applyFont="1" applyAlignment="1">
      <alignment horizontal="justify" vertical="top" wrapText="1"/>
    </xf>
    <xf numFmtId="0" fontId="2" fillId="0" borderId="1" xfId="3" applyFont="1" applyFill="1" applyBorder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49" fontId="0" fillId="0" borderId="0" xfId="0">
      <alignment wrapText="1"/>
    </xf>
    <xf numFmtId="0" fontId="1" fillId="0" borderId="1" xfId="3" applyFill="1" applyBorder="1" applyAlignment="1">
      <alignment horizontal="justify" vertical="top" wrapText="1"/>
    </xf>
    <xf numFmtId="0" fontId="2" fillId="0" borderId="1" xfId="3" applyFont="1" applyFill="1" applyBorder="1" applyAlignment="1">
      <alignment horizontal="justify" vertical="top" wrapText="1"/>
    </xf>
    <xf numFmtId="0" fontId="4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vertical="top" wrapText="1"/>
    </xf>
    <xf numFmtId="49" fontId="3" fillId="0" borderId="0" xfId="0" applyFont="1" applyFill="1">
      <alignment wrapText="1"/>
    </xf>
    <xf numFmtId="49" fontId="0" fillId="0" borderId="0" xfId="0" applyFill="1">
      <alignment wrapText="1"/>
    </xf>
    <xf numFmtId="0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center" wrapText="1"/>
    </xf>
    <xf numFmtId="0" fontId="1" fillId="0" borderId="1" xfId="3" applyFill="1" applyBorder="1" applyAlignment="1">
      <alignment horizontal="center" wrapText="1"/>
    </xf>
    <xf numFmtId="0" fontId="2" fillId="0" borderId="1" xfId="3" applyFont="1" applyBorder="1" applyAlignment="1">
      <alignment horizontal="center" wrapText="1"/>
    </xf>
    <xf numFmtId="0" fontId="5" fillId="0" borderId="1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justify" vertical="top" wrapText="1"/>
    </xf>
    <xf numFmtId="49" fontId="10" fillId="0" borderId="1" xfId="0" applyFont="1" applyBorder="1" applyAlignment="1">
      <alignment horizontal="center" wrapText="1"/>
    </xf>
    <xf numFmtId="49" fontId="2" fillId="0" borderId="1" xfId="3" applyNumberFormat="1" applyFont="1" applyFill="1" applyBorder="1" applyAlignment="1">
      <alignment horizontal="center" wrapText="1"/>
    </xf>
    <xf numFmtId="49" fontId="2" fillId="0" borderId="1" xfId="3" applyNumberFormat="1" applyFont="1" applyFill="1" applyBorder="1" applyAlignment="1">
      <alignment horizontal="right" vertical="top" wrapText="1"/>
    </xf>
    <xf numFmtId="0" fontId="2" fillId="0" borderId="1" xfId="3" applyFont="1" applyFill="1" applyBorder="1" applyAlignment="1">
      <alignment horizontal="right" vertical="top" wrapText="1"/>
    </xf>
    <xf numFmtId="165" fontId="2" fillId="3" borderId="1" xfId="2" applyNumberFormat="1" applyFont="1" applyFill="1" applyBorder="1"/>
    <xf numFmtId="0" fontId="2" fillId="0" borderId="1" xfId="3" applyFont="1" applyBorder="1" applyAlignment="1">
      <alignment horizontal="right" vertical="top" wrapText="1"/>
    </xf>
    <xf numFmtId="49" fontId="0" fillId="0" borderId="1" xfId="0" applyFont="1" applyFill="1" applyBorder="1">
      <alignment wrapText="1"/>
    </xf>
    <xf numFmtId="49" fontId="10" fillId="2" borderId="1" xfId="0" applyFont="1" applyFill="1" applyBorder="1" applyAlignment="1">
      <alignment horizontal="justify" vertical="top" wrapText="1"/>
    </xf>
    <xf numFmtId="49" fontId="10" fillId="2" borderId="1" xfId="0" applyFont="1" applyFill="1" applyBorder="1" applyAlignment="1">
      <alignment horizontal="center" wrapText="1"/>
    </xf>
    <xf numFmtId="165" fontId="10" fillId="2" borderId="1" xfId="1" applyNumberFormat="1" applyFont="1" applyFill="1" applyBorder="1" applyAlignment="1">
      <alignment horizontal="right"/>
    </xf>
    <xf numFmtId="43" fontId="10" fillId="2" borderId="1" xfId="1" applyFont="1" applyFill="1" applyBorder="1" applyAlignment="1">
      <alignment wrapText="1"/>
    </xf>
    <xf numFmtId="0" fontId="0" fillId="0" borderId="3" xfId="1" applyNumberFormat="1" applyFont="1" applyBorder="1" applyAlignment="1">
      <alignment wrapText="1"/>
    </xf>
    <xf numFmtId="165" fontId="2" fillId="0" borderId="3" xfId="2" applyNumberFormat="1" applyFont="1" applyFill="1" applyBorder="1"/>
    <xf numFmtId="165" fontId="2" fillId="3" borderId="0" xfId="2" applyNumberFormat="1" applyFont="1" applyFill="1" applyBorder="1"/>
    <xf numFmtId="49" fontId="9" fillId="0" borderId="3" xfId="0" applyFont="1" applyFill="1" applyBorder="1" applyAlignment="1">
      <alignment horizontal="center" vertical="center" wrapText="1"/>
    </xf>
    <xf numFmtId="165" fontId="4" fillId="0" borderId="3" xfId="2" applyNumberFormat="1" applyFont="1" applyFill="1" applyBorder="1"/>
    <xf numFmtId="49" fontId="0" fillId="0" borderId="0" xfId="1" applyNumberFormat="1" applyFont="1" applyBorder="1" applyAlignment="1">
      <alignment wrapText="1"/>
    </xf>
    <xf numFmtId="164" fontId="0" fillId="0" borderId="0" xfId="1" applyNumberFormat="1" applyFont="1" applyBorder="1" applyAlignment="1">
      <alignment wrapText="1"/>
    </xf>
    <xf numFmtId="43" fontId="6" fillId="0" borderId="0" xfId="1" applyFont="1" applyBorder="1" applyAlignment="1">
      <alignment wrapText="1"/>
    </xf>
    <xf numFmtId="167" fontId="4" fillId="0" borderId="1" xfId="2" applyNumberFormat="1" applyFont="1" applyFill="1" applyBorder="1"/>
    <xf numFmtId="169" fontId="0" fillId="0" borderId="0" xfId="0" applyNumberFormat="1" applyBorder="1">
      <alignment wrapText="1"/>
    </xf>
    <xf numFmtId="170" fontId="0" fillId="0" borderId="0" xfId="0" applyNumberFormat="1" applyBorder="1">
      <alignment wrapText="1"/>
    </xf>
    <xf numFmtId="49" fontId="9" fillId="0" borderId="0" xfId="0" applyFont="1" applyFill="1" applyBorder="1" applyAlignment="1">
      <alignment horizontal="center" vertical="center" wrapText="1"/>
    </xf>
    <xf numFmtId="49" fontId="9" fillId="3" borderId="1" xfId="0" applyFont="1" applyFill="1" applyBorder="1" applyAlignment="1">
      <alignment horizontal="center" vertical="center" wrapText="1"/>
    </xf>
    <xf numFmtId="43" fontId="9" fillId="3" borderId="1" xfId="1" applyFont="1" applyFill="1" applyBorder="1" applyAlignment="1">
      <alignment horizontal="center" vertical="center" wrapText="1"/>
    </xf>
    <xf numFmtId="49" fontId="9" fillId="0" borderId="0" xfId="0" applyFont="1" applyAlignment="1">
      <alignment horizontal="center"/>
    </xf>
    <xf numFmtId="49" fontId="9" fillId="0" borderId="0" xfId="0" applyFont="1" applyAlignment="1">
      <alignment horizontal="center" wrapText="1"/>
    </xf>
  </cellXfs>
  <cellStyles count="7">
    <cellStyle name="Обычный" xfId="0" builtinId="0"/>
    <cellStyle name="Обычный 2" xfId="3"/>
    <cellStyle name="Обычный 3 2" xfId="6"/>
    <cellStyle name="Финансовый" xfId="1" builtinId="3"/>
    <cellStyle name="Финансовый 2" xfId="2"/>
    <cellStyle name="Финансовый 2 2" xfId="5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S637"/>
  <sheetViews>
    <sheetView tabSelected="1" view="pageBreakPreview" zoomScaleNormal="100" zoomScaleSheetLayoutView="100" workbookViewId="0">
      <pane xSplit="2" ySplit="13" topLeftCell="C14" activePane="bottomRight" state="frozen"/>
      <selection pane="topRight" activeCell="C1" sqref="C1"/>
      <selection pane="bottomLeft" activeCell="A12" sqref="A12"/>
      <selection pane="bottomRight" activeCell="I14" sqref="I14"/>
    </sheetView>
  </sheetViews>
  <sheetFormatPr defaultRowHeight="15" x14ac:dyDescent="0.3"/>
  <cols>
    <col min="1" max="1" width="22" customWidth="1"/>
    <col min="2" max="2" width="51.375" style="21" customWidth="1"/>
    <col min="3" max="3" width="14.5" style="84" hidden="1" customWidth="1"/>
    <col min="4" max="4" width="13.75" style="23" hidden="1" customWidth="1"/>
    <col min="5" max="5" width="15" style="23" customWidth="1"/>
    <col min="6" max="6" width="15" style="23" hidden="1" customWidth="1"/>
    <col min="7" max="7" width="14" style="23" customWidth="1"/>
    <col min="8" max="8" width="14" style="23" hidden="1" customWidth="1"/>
    <col min="9" max="9" width="14" style="23" customWidth="1"/>
    <col min="10" max="10" width="15" style="1" hidden="1" customWidth="1"/>
    <col min="11" max="11" width="15" bestFit="1" customWidth="1"/>
    <col min="12" max="12" width="11.375" customWidth="1"/>
    <col min="13" max="13" width="13.25" customWidth="1"/>
    <col min="256" max="256" width="22.875" customWidth="1"/>
    <col min="257" max="257" width="51" customWidth="1"/>
    <col min="258" max="262" width="0" hidden="1" customWidth="1"/>
    <col min="263" max="263" width="14" customWidth="1"/>
    <col min="264" max="264" width="12.625" customWidth="1"/>
    <col min="265" max="265" width="12.875" customWidth="1"/>
    <col min="512" max="512" width="22.875" customWidth="1"/>
    <col min="513" max="513" width="51" customWidth="1"/>
    <col min="514" max="518" width="0" hidden="1" customWidth="1"/>
    <col min="519" max="519" width="14" customWidth="1"/>
    <col min="520" max="520" width="12.625" customWidth="1"/>
    <col min="521" max="521" width="12.875" customWidth="1"/>
    <col min="768" max="768" width="22.875" customWidth="1"/>
    <col min="769" max="769" width="51" customWidth="1"/>
    <col min="770" max="774" width="0" hidden="1" customWidth="1"/>
    <col min="775" max="775" width="14" customWidth="1"/>
    <col min="776" max="776" width="12.625" customWidth="1"/>
    <col min="777" max="777" width="12.875" customWidth="1"/>
    <col min="1024" max="1024" width="22.875" customWidth="1"/>
    <col min="1025" max="1025" width="51" customWidth="1"/>
    <col min="1026" max="1030" width="0" hidden="1" customWidth="1"/>
    <col min="1031" max="1031" width="14" customWidth="1"/>
    <col min="1032" max="1032" width="12.625" customWidth="1"/>
    <col min="1033" max="1033" width="12.875" customWidth="1"/>
    <col min="1280" max="1280" width="22.875" customWidth="1"/>
    <col min="1281" max="1281" width="51" customWidth="1"/>
    <col min="1282" max="1286" width="0" hidden="1" customWidth="1"/>
    <col min="1287" max="1287" width="14" customWidth="1"/>
    <col min="1288" max="1288" width="12.625" customWidth="1"/>
    <col min="1289" max="1289" width="12.875" customWidth="1"/>
    <col min="1536" max="1536" width="22.875" customWidth="1"/>
    <col min="1537" max="1537" width="51" customWidth="1"/>
    <col min="1538" max="1542" width="0" hidden="1" customWidth="1"/>
    <col min="1543" max="1543" width="14" customWidth="1"/>
    <col min="1544" max="1544" width="12.625" customWidth="1"/>
    <col min="1545" max="1545" width="12.875" customWidth="1"/>
    <col min="1792" max="1792" width="22.875" customWidth="1"/>
    <col min="1793" max="1793" width="51" customWidth="1"/>
    <col min="1794" max="1798" width="0" hidden="1" customWidth="1"/>
    <col min="1799" max="1799" width="14" customWidth="1"/>
    <col min="1800" max="1800" width="12.625" customWidth="1"/>
    <col min="1801" max="1801" width="12.875" customWidth="1"/>
    <col min="2048" max="2048" width="22.875" customWidth="1"/>
    <col min="2049" max="2049" width="51" customWidth="1"/>
    <col min="2050" max="2054" width="0" hidden="1" customWidth="1"/>
    <col min="2055" max="2055" width="14" customWidth="1"/>
    <col min="2056" max="2056" width="12.625" customWidth="1"/>
    <col min="2057" max="2057" width="12.875" customWidth="1"/>
    <col min="2304" max="2304" width="22.875" customWidth="1"/>
    <col min="2305" max="2305" width="51" customWidth="1"/>
    <col min="2306" max="2310" width="0" hidden="1" customWidth="1"/>
    <col min="2311" max="2311" width="14" customWidth="1"/>
    <col min="2312" max="2312" width="12.625" customWidth="1"/>
    <col min="2313" max="2313" width="12.875" customWidth="1"/>
    <col min="2560" max="2560" width="22.875" customWidth="1"/>
    <col min="2561" max="2561" width="51" customWidth="1"/>
    <col min="2562" max="2566" width="0" hidden="1" customWidth="1"/>
    <col min="2567" max="2567" width="14" customWidth="1"/>
    <col min="2568" max="2568" width="12.625" customWidth="1"/>
    <col min="2569" max="2569" width="12.875" customWidth="1"/>
    <col min="2816" max="2816" width="22.875" customWidth="1"/>
    <col min="2817" max="2817" width="51" customWidth="1"/>
    <col min="2818" max="2822" width="0" hidden="1" customWidth="1"/>
    <col min="2823" max="2823" width="14" customWidth="1"/>
    <col min="2824" max="2824" width="12.625" customWidth="1"/>
    <col min="2825" max="2825" width="12.875" customWidth="1"/>
    <col min="3072" max="3072" width="22.875" customWidth="1"/>
    <col min="3073" max="3073" width="51" customWidth="1"/>
    <col min="3074" max="3078" width="0" hidden="1" customWidth="1"/>
    <col min="3079" max="3079" width="14" customWidth="1"/>
    <col min="3080" max="3080" width="12.625" customWidth="1"/>
    <col min="3081" max="3081" width="12.875" customWidth="1"/>
    <col min="3328" max="3328" width="22.875" customWidth="1"/>
    <col min="3329" max="3329" width="51" customWidth="1"/>
    <col min="3330" max="3334" width="0" hidden="1" customWidth="1"/>
    <col min="3335" max="3335" width="14" customWidth="1"/>
    <col min="3336" max="3336" width="12.625" customWidth="1"/>
    <col min="3337" max="3337" width="12.875" customWidth="1"/>
    <col min="3584" max="3584" width="22.875" customWidth="1"/>
    <col min="3585" max="3585" width="51" customWidth="1"/>
    <col min="3586" max="3590" width="0" hidden="1" customWidth="1"/>
    <col min="3591" max="3591" width="14" customWidth="1"/>
    <col min="3592" max="3592" width="12.625" customWidth="1"/>
    <col min="3593" max="3593" width="12.875" customWidth="1"/>
    <col min="3840" max="3840" width="22.875" customWidth="1"/>
    <col min="3841" max="3841" width="51" customWidth="1"/>
    <col min="3842" max="3846" width="0" hidden="1" customWidth="1"/>
    <col min="3847" max="3847" width="14" customWidth="1"/>
    <col min="3848" max="3848" width="12.625" customWidth="1"/>
    <col min="3849" max="3849" width="12.875" customWidth="1"/>
    <col min="4096" max="4096" width="22.875" customWidth="1"/>
    <col min="4097" max="4097" width="51" customWidth="1"/>
    <col min="4098" max="4102" width="0" hidden="1" customWidth="1"/>
    <col min="4103" max="4103" width="14" customWidth="1"/>
    <col min="4104" max="4104" width="12.625" customWidth="1"/>
    <col min="4105" max="4105" width="12.875" customWidth="1"/>
    <col min="4352" max="4352" width="22.875" customWidth="1"/>
    <col min="4353" max="4353" width="51" customWidth="1"/>
    <col min="4354" max="4358" width="0" hidden="1" customWidth="1"/>
    <col min="4359" max="4359" width="14" customWidth="1"/>
    <col min="4360" max="4360" width="12.625" customWidth="1"/>
    <col min="4361" max="4361" width="12.875" customWidth="1"/>
    <col min="4608" max="4608" width="22.875" customWidth="1"/>
    <col min="4609" max="4609" width="51" customWidth="1"/>
    <col min="4610" max="4614" width="0" hidden="1" customWidth="1"/>
    <col min="4615" max="4615" width="14" customWidth="1"/>
    <col min="4616" max="4616" width="12.625" customWidth="1"/>
    <col min="4617" max="4617" width="12.875" customWidth="1"/>
    <col min="4864" max="4864" width="22.875" customWidth="1"/>
    <col min="4865" max="4865" width="51" customWidth="1"/>
    <col min="4866" max="4870" width="0" hidden="1" customWidth="1"/>
    <col min="4871" max="4871" width="14" customWidth="1"/>
    <col min="4872" max="4872" width="12.625" customWidth="1"/>
    <col min="4873" max="4873" width="12.875" customWidth="1"/>
    <col min="5120" max="5120" width="22.875" customWidth="1"/>
    <col min="5121" max="5121" width="51" customWidth="1"/>
    <col min="5122" max="5126" width="0" hidden="1" customWidth="1"/>
    <col min="5127" max="5127" width="14" customWidth="1"/>
    <col min="5128" max="5128" width="12.625" customWidth="1"/>
    <col min="5129" max="5129" width="12.875" customWidth="1"/>
    <col min="5376" max="5376" width="22.875" customWidth="1"/>
    <col min="5377" max="5377" width="51" customWidth="1"/>
    <col min="5378" max="5382" width="0" hidden="1" customWidth="1"/>
    <col min="5383" max="5383" width="14" customWidth="1"/>
    <col min="5384" max="5384" width="12.625" customWidth="1"/>
    <col min="5385" max="5385" width="12.875" customWidth="1"/>
    <col min="5632" max="5632" width="22.875" customWidth="1"/>
    <col min="5633" max="5633" width="51" customWidth="1"/>
    <col min="5634" max="5638" width="0" hidden="1" customWidth="1"/>
    <col min="5639" max="5639" width="14" customWidth="1"/>
    <col min="5640" max="5640" width="12.625" customWidth="1"/>
    <col min="5641" max="5641" width="12.875" customWidth="1"/>
    <col min="5888" max="5888" width="22.875" customWidth="1"/>
    <col min="5889" max="5889" width="51" customWidth="1"/>
    <col min="5890" max="5894" width="0" hidden="1" customWidth="1"/>
    <col min="5895" max="5895" width="14" customWidth="1"/>
    <col min="5896" max="5896" width="12.625" customWidth="1"/>
    <col min="5897" max="5897" width="12.875" customWidth="1"/>
    <col min="6144" max="6144" width="22.875" customWidth="1"/>
    <col min="6145" max="6145" width="51" customWidth="1"/>
    <col min="6146" max="6150" width="0" hidden="1" customWidth="1"/>
    <col min="6151" max="6151" width="14" customWidth="1"/>
    <col min="6152" max="6152" width="12.625" customWidth="1"/>
    <col min="6153" max="6153" width="12.875" customWidth="1"/>
    <col min="6400" max="6400" width="22.875" customWidth="1"/>
    <col min="6401" max="6401" width="51" customWidth="1"/>
    <col min="6402" max="6406" width="0" hidden="1" customWidth="1"/>
    <col min="6407" max="6407" width="14" customWidth="1"/>
    <col min="6408" max="6408" width="12.625" customWidth="1"/>
    <col min="6409" max="6409" width="12.875" customWidth="1"/>
    <col min="6656" max="6656" width="22.875" customWidth="1"/>
    <col min="6657" max="6657" width="51" customWidth="1"/>
    <col min="6658" max="6662" width="0" hidden="1" customWidth="1"/>
    <col min="6663" max="6663" width="14" customWidth="1"/>
    <col min="6664" max="6664" width="12.625" customWidth="1"/>
    <col min="6665" max="6665" width="12.875" customWidth="1"/>
    <col min="6912" max="6912" width="22.875" customWidth="1"/>
    <col min="6913" max="6913" width="51" customWidth="1"/>
    <col min="6914" max="6918" width="0" hidden="1" customWidth="1"/>
    <col min="6919" max="6919" width="14" customWidth="1"/>
    <col min="6920" max="6920" width="12.625" customWidth="1"/>
    <col min="6921" max="6921" width="12.875" customWidth="1"/>
    <col min="7168" max="7168" width="22.875" customWidth="1"/>
    <col min="7169" max="7169" width="51" customWidth="1"/>
    <col min="7170" max="7174" width="0" hidden="1" customWidth="1"/>
    <col min="7175" max="7175" width="14" customWidth="1"/>
    <col min="7176" max="7176" width="12.625" customWidth="1"/>
    <col min="7177" max="7177" width="12.875" customWidth="1"/>
    <col min="7424" max="7424" width="22.875" customWidth="1"/>
    <col min="7425" max="7425" width="51" customWidth="1"/>
    <col min="7426" max="7430" width="0" hidden="1" customWidth="1"/>
    <col min="7431" max="7431" width="14" customWidth="1"/>
    <col min="7432" max="7432" width="12.625" customWidth="1"/>
    <col min="7433" max="7433" width="12.875" customWidth="1"/>
    <col min="7680" max="7680" width="22.875" customWidth="1"/>
    <col min="7681" max="7681" width="51" customWidth="1"/>
    <col min="7682" max="7686" width="0" hidden="1" customWidth="1"/>
    <col min="7687" max="7687" width="14" customWidth="1"/>
    <col min="7688" max="7688" width="12.625" customWidth="1"/>
    <col min="7689" max="7689" width="12.875" customWidth="1"/>
    <col min="7936" max="7936" width="22.875" customWidth="1"/>
    <col min="7937" max="7937" width="51" customWidth="1"/>
    <col min="7938" max="7942" width="0" hidden="1" customWidth="1"/>
    <col min="7943" max="7943" width="14" customWidth="1"/>
    <col min="7944" max="7944" width="12.625" customWidth="1"/>
    <col min="7945" max="7945" width="12.875" customWidth="1"/>
    <col min="8192" max="8192" width="22.875" customWidth="1"/>
    <col min="8193" max="8193" width="51" customWidth="1"/>
    <col min="8194" max="8198" width="0" hidden="1" customWidth="1"/>
    <col min="8199" max="8199" width="14" customWidth="1"/>
    <col min="8200" max="8200" width="12.625" customWidth="1"/>
    <col min="8201" max="8201" width="12.875" customWidth="1"/>
    <col min="8448" max="8448" width="22.875" customWidth="1"/>
    <col min="8449" max="8449" width="51" customWidth="1"/>
    <col min="8450" max="8454" width="0" hidden="1" customWidth="1"/>
    <col min="8455" max="8455" width="14" customWidth="1"/>
    <col min="8456" max="8456" width="12.625" customWidth="1"/>
    <col min="8457" max="8457" width="12.875" customWidth="1"/>
    <col min="8704" max="8704" width="22.875" customWidth="1"/>
    <col min="8705" max="8705" width="51" customWidth="1"/>
    <col min="8706" max="8710" width="0" hidden="1" customWidth="1"/>
    <col min="8711" max="8711" width="14" customWidth="1"/>
    <col min="8712" max="8712" width="12.625" customWidth="1"/>
    <col min="8713" max="8713" width="12.875" customWidth="1"/>
    <col min="8960" max="8960" width="22.875" customWidth="1"/>
    <col min="8961" max="8961" width="51" customWidth="1"/>
    <col min="8962" max="8966" width="0" hidden="1" customWidth="1"/>
    <col min="8967" max="8967" width="14" customWidth="1"/>
    <col min="8968" max="8968" width="12.625" customWidth="1"/>
    <col min="8969" max="8969" width="12.875" customWidth="1"/>
    <col min="9216" max="9216" width="22.875" customWidth="1"/>
    <col min="9217" max="9217" width="51" customWidth="1"/>
    <col min="9218" max="9222" width="0" hidden="1" customWidth="1"/>
    <col min="9223" max="9223" width="14" customWidth="1"/>
    <col min="9224" max="9224" width="12.625" customWidth="1"/>
    <col min="9225" max="9225" width="12.875" customWidth="1"/>
    <col min="9472" max="9472" width="22.875" customWidth="1"/>
    <col min="9473" max="9473" width="51" customWidth="1"/>
    <col min="9474" max="9478" width="0" hidden="1" customWidth="1"/>
    <col min="9479" max="9479" width="14" customWidth="1"/>
    <col min="9480" max="9480" width="12.625" customWidth="1"/>
    <col min="9481" max="9481" width="12.875" customWidth="1"/>
    <col min="9728" max="9728" width="22.875" customWidth="1"/>
    <col min="9729" max="9729" width="51" customWidth="1"/>
    <col min="9730" max="9734" width="0" hidden="1" customWidth="1"/>
    <col min="9735" max="9735" width="14" customWidth="1"/>
    <col min="9736" max="9736" width="12.625" customWidth="1"/>
    <col min="9737" max="9737" width="12.875" customWidth="1"/>
    <col min="9984" max="9984" width="22.875" customWidth="1"/>
    <col min="9985" max="9985" width="51" customWidth="1"/>
    <col min="9986" max="9990" width="0" hidden="1" customWidth="1"/>
    <col min="9991" max="9991" width="14" customWidth="1"/>
    <col min="9992" max="9992" width="12.625" customWidth="1"/>
    <col min="9993" max="9993" width="12.875" customWidth="1"/>
    <col min="10240" max="10240" width="22.875" customWidth="1"/>
    <col min="10241" max="10241" width="51" customWidth="1"/>
    <col min="10242" max="10246" width="0" hidden="1" customWidth="1"/>
    <col min="10247" max="10247" width="14" customWidth="1"/>
    <col min="10248" max="10248" width="12.625" customWidth="1"/>
    <col min="10249" max="10249" width="12.875" customWidth="1"/>
    <col min="10496" max="10496" width="22.875" customWidth="1"/>
    <col min="10497" max="10497" width="51" customWidth="1"/>
    <col min="10498" max="10502" width="0" hidden="1" customWidth="1"/>
    <col min="10503" max="10503" width="14" customWidth="1"/>
    <col min="10504" max="10504" width="12.625" customWidth="1"/>
    <col min="10505" max="10505" width="12.875" customWidth="1"/>
    <col min="10752" max="10752" width="22.875" customWidth="1"/>
    <col min="10753" max="10753" width="51" customWidth="1"/>
    <col min="10754" max="10758" width="0" hidden="1" customWidth="1"/>
    <col min="10759" max="10759" width="14" customWidth="1"/>
    <col min="10760" max="10760" width="12.625" customWidth="1"/>
    <col min="10761" max="10761" width="12.875" customWidth="1"/>
    <col min="11008" max="11008" width="22.875" customWidth="1"/>
    <col min="11009" max="11009" width="51" customWidth="1"/>
    <col min="11010" max="11014" width="0" hidden="1" customWidth="1"/>
    <col min="11015" max="11015" width="14" customWidth="1"/>
    <col min="11016" max="11016" width="12.625" customWidth="1"/>
    <col min="11017" max="11017" width="12.875" customWidth="1"/>
    <col min="11264" max="11264" width="22.875" customWidth="1"/>
    <col min="11265" max="11265" width="51" customWidth="1"/>
    <col min="11266" max="11270" width="0" hidden="1" customWidth="1"/>
    <col min="11271" max="11271" width="14" customWidth="1"/>
    <col min="11272" max="11272" width="12.625" customWidth="1"/>
    <col min="11273" max="11273" width="12.875" customWidth="1"/>
    <col min="11520" max="11520" width="22.875" customWidth="1"/>
    <col min="11521" max="11521" width="51" customWidth="1"/>
    <col min="11522" max="11526" width="0" hidden="1" customWidth="1"/>
    <col min="11527" max="11527" width="14" customWidth="1"/>
    <col min="11528" max="11528" width="12.625" customWidth="1"/>
    <col min="11529" max="11529" width="12.875" customWidth="1"/>
    <col min="11776" max="11776" width="22.875" customWidth="1"/>
    <col min="11777" max="11777" width="51" customWidth="1"/>
    <col min="11778" max="11782" width="0" hidden="1" customWidth="1"/>
    <col min="11783" max="11783" width="14" customWidth="1"/>
    <col min="11784" max="11784" width="12.625" customWidth="1"/>
    <col min="11785" max="11785" width="12.875" customWidth="1"/>
    <col min="12032" max="12032" width="22.875" customWidth="1"/>
    <col min="12033" max="12033" width="51" customWidth="1"/>
    <col min="12034" max="12038" width="0" hidden="1" customWidth="1"/>
    <col min="12039" max="12039" width="14" customWidth="1"/>
    <col min="12040" max="12040" width="12.625" customWidth="1"/>
    <col min="12041" max="12041" width="12.875" customWidth="1"/>
    <col min="12288" max="12288" width="22.875" customWidth="1"/>
    <col min="12289" max="12289" width="51" customWidth="1"/>
    <col min="12290" max="12294" width="0" hidden="1" customWidth="1"/>
    <col min="12295" max="12295" width="14" customWidth="1"/>
    <col min="12296" max="12296" width="12.625" customWidth="1"/>
    <col min="12297" max="12297" width="12.875" customWidth="1"/>
    <col min="12544" max="12544" width="22.875" customWidth="1"/>
    <col min="12545" max="12545" width="51" customWidth="1"/>
    <col min="12546" max="12550" width="0" hidden="1" customWidth="1"/>
    <col min="12551" max="12551" width="14" customWidth="1"/>
    <col min="12552" max="12552" width="12.625" customWidth="1"/>
    <col min="12553" max="12553" width="12.875" customWidth="1"/>
    <col min="12800" max="12800" width="22.875" customWidth="1"/>
    <col min="12801" max="12801" width="51" customWidth="1"/>
    <col min="12802" max="12806" width="0" hidden="1" customWidth="1"/>
    <col min="12807" max="12807" width="14" customWidth="1"/>
    <col min="12808" max="12808" width="12.625" customWidth="1"/>
    <col min="12809" max="12809" width="12.875" customWidth="1"/>
    <col min="13056" max="13056" width="22.875" customWidth="1"/>
    <col min="13057" max="13057" width="51" customWidth="1"/>
    <col min="13058" max="13062" width="0" hidden="1" customWidth="1"/>
    <col min="13063" max="13063" width="14" customWidth="1"/>
    <col min="13064" max="13064" width="12.625" customWidth="1"/>
    <col min="13065" max="13065" width="12.875" customWidth="1"/>
    <col min="13312" max="13312" width="22.875" customWidth="1"/>
    <col min="13313" max="13313" width="51" customWidth="1"/>
    <col min="13314" max="13318" width="0" hidden="1" customWidth="1"/>
    <col min="13319" max="13319" width="14" customWidth="1"/>
    <col min="13320" max="13320" width="12.625" customWidth="1"/>
    <col min="13321" max="13321" width="12.875" customWidth="1"/>
    <col min="13568" max="13568" width="22.875" customWidth="1"/>
    <col min="13569" max="13569" width="51" customWidth="1"/>
    <col min="13570" max="13574" width="0" hidden="1" customWidth="1"/>
    <col min="13575" max="13575" width="14" customWidth="1"/>
    <col min="13576" max="13576" width="12.625" customWidth="1"/>
    <col min="13577" max="13577" width="12.875" customWidth="1"/>
    <col min="13824" max="13824" width="22.875" customWidth="1"/>
    <col min="13825" max="13825" width="51" customWidth="1"/>
    <col min="13826" max="13830" width="0" hidden="1" customWidth="1"/>
    <col min="13831" max="13831" width="14" customWidth="1"/>
    <col min="13832" max="13832" width="12.625" customWidth="1"/>
    <col min="13833" max="13833" width="12.875" customWidth="1"/>
    <col min="14080" max="14080" width="22.875" customWidth="1"/>
    <col min="14081" max="14081" width="51" customWidth="1"/>
    <col min="14082" max="14086" width="0" hidden="1" customWidth="1"/>
    <col min="14087" max="14087" width="14" customWidth="1"/>
    <col min="14088" max="14088" width="12.625" customWidth="1"/>
    <col min="14089" max="14089" width="12.875" customWidth="1"/>
    <col min="14336" max="14336" width="22.875" customWidth="1"/>
    <col min="14337" max="14337" width="51" customWidth="1"/>
    <col min="14338" max="14342" width="0" hidden="1" customWidth="1"/>
    <col min="14343" max="14343" width="14" customWidth="1"/>
    <col min="14344" max="14344" width="12.625" customWidth="1"/>
    <col min="14345" max="14345" width="12.875" customWidth="1"/>
    <col min="14592" max="14592" width="22.875" customWidth="1"/>
    <col min="14593" max="14593" width="51" customWidth="1"/>
    <col min="14594" max="14598" width="0" hidden="1" customWidth="1"/>
    <col min="14599" max="14599" width="14" customWidth="1"/>
    <col min="14600" max="14600" width="12.625" customWidth="1"/>
    <col min="14601" max="14601" width="12.875" customWidth="1"/>
    <col min="14848" max="14848" width="22.875" customWidth="1"/>
    <col min="14849" max="14849" width="51" customWidth="1"/>
    <col min="14850" max="14854" width="0" hidden="1" customWidth="1"/>
    <col min="14855" max="14855" width="14" customWidth="1"/>
    <col min="14856" max="14856" width="12.625" customWidth="1"/>
    <col min="14857" max="14857" width="12.875" customWidth="1"/>
    <col min="15104" max="15104" width="22.875" customWidth="1"/>
    <col min="15105" max="15105" width="51" customWidth="1"/>
    <col min="15106" max="15110" width="0" hidden="1" customWidth="1"/>
    <col min="15111" max="15111" width="14" customWidth="1"/>
    <col min="15112" max="15112" width="12.625" customWidth="1"/>
    <col min="15113" max="15113" width="12.875" customWidth="1"/>
    <col min="15360" max="15360" width="22.875" customWidth="1"/>
    <col min="15361" max="15361" width="51" customWidth="1"/>
    <col min="15362" max="15366" width="0" hidden="1" customWidth="1"/>
    <col min="15367" max="15367" width="14" customWidth="1"/>
    <col min="15368" max="15368" width="12.625" customWidth="1"/>
    <col min="15369" max="15369" width="12.875" customWidth="1"/>
    <col min="15616" max="15616" width="22.875" customWidth="1"/>
    <col min="15617" max="15617" width="51" customWidth="1"/>
    <col min="15618" max="15622" width="0" hidden="1" customWidth="1"/>
    <col min="15623" max="15623" width="14" customWidth="1"/>
    <col min="15624" max="15624" width="12.625" customWidth="1"/>
    <col min="15625" max="15625" width="12.875" customWidth="1"/>
    <col min="15872" max="15872" width="22.875" customWidth="1"/>
    <col min="15873" max="15873" width="51" customWidth="1"/>
    <col min="15874" max="15878" width="0" hidden="1" customWidth="1"/>
    <col min="15879" max="15879" width="14" customWidth="1"/>
    <col min="15880" max="15880" width="12.625" customWidth="1"/>
    <col min="15881" max="15881" width="12.875" customWidth="1"/>
    <col min="16128" max="16128" width="22.875" customWidth="1"/>
    <col min="16129" max="16129" width="51" customWidth="1"/>
    <col min="16130" max="16134" width="0" hidden="1" customWidth="1"/>
    <col min="16135" max="16135" width="14" customWidth="1"/>
    <col min="16136" max="16136" width="12.625" customWidth="1"/>
    <col min="16137" max="16137" width="12.875" customWidth="1"/>
  </cols>
  <sheetData>
    <row r="1" spans="1:16" x14ac:dyDescent="0.3">
      <c r="A1" s="42"/>
      <c r="B1" s="43"/>
      <c r="C1" s="43"/>
      <c r="D1" s="43"/>
      <c r="E1" s="24" t="s">
        <v>499</v>
      </c>
      <c r="F1" s="24"/>
      <c r="G1" s="43"/>
      <c r="H1" s="43"/>
      <c r="I1" s="44"/>
      <c r="J1" s="20"/>
    </row>
    <row r="2" spans="1:16" x14ac:dyDescent="0.3">
      <c r="A2" s="45" t="s">
        <v>0</v>
      </c>
      <c r="B2" s="43"/>
      <c r="C2" s="43"/>
      <c r="D2" s="43"/>
      <c r="E2" s="24" t="s">
        <v>500</v>
      </c>
      <c r="F2" s="24"/>
      <c r="G2" s="43"/>
      <c r="H2" s="43"/>
      <c r="I2" s="44"/>
      <c r="J2" s="20"/>
    </row>
    <row r="3" spans="1:16" x14ac:dyDescent="0.3">
      <c r="A3" s="45" t="s">
        <v>1</v>
      </c>
      <c r="B3" s="43"/>
      <c r="C3" s="43"/>
      <c r="D3" s="43"/>
      <c r="E3" s="24" t="s">
        <v>501</v>
      </c>
      <c r="F3" s="24"/>
      <c r="G3" s="43"/>
      <c r="H3" s="43"/>
      <c r="I3" s="44"/>
      <c r="J3" s="20"/>
    </row>
    <row r="4" spans="1:16" x14ac:dyDescent="0.3">
      <c r="A4" s="45" t="s">
        <v>2</v>
      </c>
      <c r="B4" s="43"/>
      <c r="C4" s="43"/>
      <c r="D4" s="43"/>
      <c r="E4" s="24" t="s">
        <v>636</v>
      </c>
      <c r="F4" s="24"/>
      <c r="G4" s="43"/>
      <c r="H4" s="43"/>
      <c r="I4" s="44"/>
      <c r="J4" s="20"/>
    </row>
    <row r="5" spans="1:16" x14ac:dyDescent="0.3">
      <c r="A5" s="46"/>
      <c r="B5" s="43"/>
      <c r="C5" s="43"/>
      <c r="D5" s="43"/>
      <c r="E5" s="43"/>
      <c r="F5" s="43"/>
      <c r="G5" s="43"/>
      <c r="H5" s="43"/>
      <c r="I5" s="44"/>
      <c r="J5" s="20"/>
    </row>
    <row r="6" spans="1:16" ht="15.75" x14ac:dyDescent="0.3">
      <c r="A6" s="117" t="s">
        <v>3</v>
      </c>
      <c r="B6" s="117"/>
      <c r="C6" s="117"/>
      <c r="D6" s="117"/>
      <c r="E6" s="117"/>
      <c r="F6" s="117"/>
      <c r="G6" s="117"/>
      <c r="H6" s="117"/>
      <c r="I6" s="117"/>
      <c r="J6" s="20"/>
    </row>
    <row r="7" spans="1:16" ht="15.75" x14ac:dyDescent="0.3">
      <c r="A7" s="117" t="s">
        <v>4</v>
      </c>
      <c r="B7" s="117"/>
      <c r="C7" s="117"/>
      <c r="D7" s="117"/>
      <c r="E7" s="117"/>
      <c r="F7" s="117"/>
      <c r="G7" s="117"/>
      <c r="H7" s="117"/>
      <c r="I7" s="117"/>
      <c r="J7" s="20"/>
    </row>
    <row r="8" spans="1:16" ht="15.75" x14ac:dyDescent="0.3">
      <c r="A8" s="118" t="s">
        <v>625</v>
      </c>
      <c r="B8" s="117"/>
      <c r="C8" s="117"/>
      <c r="D8" s="117"/>
      <c r="E8" s="117"/>
      <c r="F8" s="117"/>
      <c r="G8" s="117"/>
      <c r="H8" s="117"/>
      <c r="I8" s="117"/>
      <c r="J8" s="20"/>
    </row>
    <row r="9" spans="1:16" ht="15" customHeight="1" x14ac:dyDescent="0.3">
      <c r="A9" s="42"/>
      <c r="B9" s="43"/>
      <c r="C9" s="43"/>
      <c r="D9" s="22"/>
      <c r="E9" s="22"/>
      <c r="F9" s="22"/>
      <c r="G9" s="43"/>
      <c r="H9" s="43"/>
      <c r="I9" s="22" t="s">
        <v>502</v>
      </c>
      <c r="J9" s="20"/>
    </row>
    <row r="10" spans="1:16" s="1" customFormat="1" ht="48" customHeight="1" x14ac:dyDescent="0.3">
      <c r="A10" s="47" t="s">
        <v>5</v>
      </c>
      <c r="B10" s="48" t="s">
        <v>6</v>
      </c>
      <c r="C10" s="48" t="s">
        <v>596</v>
      </c>
      <c r="D10" s="48" t="s">
        <v>538</v>
      </c>
      <c r="E10" s="48" t="s">
        <v>7</v>
      </c>
      <c r="F10" s="48" t="s">
        <v>623</v>
      </c>
      <c r="G10" s="48" t="s">
        <v>8</v>
      </c>
      <c r="H10" s="48" t="s">
        <v>623</v>
      </c>
      <c r="I10" s="48" t="s">
        <v>537</v>
      </c>
      <c r="J10" s="106" t="s">
        <v>623</v>
      </c>
      <c r="K10" s="108"/>
      <c r="L10" s="109"/>
      <c r="M10" s="109"/>
      <c r="N10" s="109"/>
      <c r="O10" s="109"/>
      <c r="P10" s="109"/>
    </row>
    <row r="11" spans="1:16" s="1" customFormat="1" ht="0.75" hidden="1" customHeight="1" x14ac:dyDescent="0.3">
      <c r="A11" s="47"/>
      <c r="B11" s="115" t="s">
        <v>635</v>
      </c>
      <c r="C11" s="115"/>
      <c r="D11" s="115"/>
      <c r="E11" s="116">
        <f>E12+E13</f>
        <v>1782968.7</v>
      </c>
      <c r="F11" s="116">
        <f t="shared" ref="F11:I11" si="0">F12+F13</f>
        <v>0</v>
      </c>
      <c r="G11" s="116">
        <f t="shared" si="0"/>
        <v>932649.1</v>
      </c>
      <c r="H11" s="116">
        <f t="shared" si="0"/>
        <v>0</v>
      </c>
      <c r="I11" s="116">
        <f t="shared" si="0"/>
        <v>913724.9</v>
      </c>
      <c r="J11" s="114"/>
      <c r="K11" s="108"/>
      <c r="L11" s="109"/>
      <c r="M11" s="109"/>
      <c r="N11" s="109"/>
      <c r="O11" s="109"/>
      <c r="P11" s="109"/>
    </row>
    <row r="12" spans="1:16" s="1" customFormat="1" hidden="1" x14ac:dyDescent="0.3">
      <c r="A12" s="47"/>
      <c r="B12" s="115" t="s">
        <v>634</v>
      </c>
      <c r="C12" s="115"/>
      <c r="D12" s="115"/>
      <c r="E12" s="116">
        <v>14300</v>
      </c>
      <c r="F12" s="116"/>
      <c r="G12" s="116">
        <v>15200</v>
      </c>
      <c r="H12" s="116"/>
      <c r="I12" s="116">
        <v>16200</v>
      </c>
      <c r="J12" s="114"/>
      <c r="K12" s="108"/>
      <c r="L12" s="109"/>
      <c r="M12" s="109"/>
      <c r="N12" s="109"/>
      <c r="O12" s="109"/>
      <c r="P12" s="109"/>
    </row>
    <row r="13" spans="1:16" ht="27" customHeight="1" x14ac:dyDescent="0.3">
      <c r="A13" s="49"/>
      <c r="B13" s="50" t="s">
        <v>9</v>
      </c>
      <c r="C13" s="50"/>
      <c r="D13" s="51">
        <f>D14+D206</f>
        <v>1154043.8145309999</v>
      </c>
      <c r="E13" s="51">
        <f t="shared" ref="E13:I13" si="1">E14+E206</f>
        <v>1768668.7</v>
      </c>
      <c r="F13" s="51"/>
      <c r="G13" s="51">
        <f t="shared" si="1"/>
        <v>917449.1</v>
      </c>
      <c r="H13" s="51"/>
      <c r="I13" s="51">
        <f t="shared" si="1"/>
        <v>897524.9</v>
      </c>
      <c r="J13" s="39"/>
      <c r="K13" s="110"/>
      <c r="L13" s="40"/>
      <c r="M13" s="40"/>
      <c r="N13" s="40"/>
      <c r="O13" s="40"/>
      <c r="P13" s="40"/>
    </row>
    <row r="14" spans="1:16" ht="24.95" customHeight="1" x14ac:dyDescent="0.3">
      <c r="A14" s="52" t="s">
        <v>10</v>
      </c>
      <c r="B14" s="50" t="s">
        <v>11</v>
      </c>
      <c r="C14" s="50"/>
      <c r="D14" s="51">
        <f>D15+D36+D55+D63+D72+D81+D112+D26+D89+D98+D194+D201</f>
        <v>311428.98</v>
      </c>
      <c r="E14" s="51">
        <f t="shared" ref="E14:I14" si="2">E15+E36+E55+E63+E72+E81+E112+E26+E89+E98+E194+E201</f>
        <v>307694</v>
      </c>
      <c r="F14" s="51"/>
      <c r="G14" s="51">
        <f t="shared" si="2"/>
        <v>304399.59999999998</v>
      </c>
      <c r="H14" s="51"/>
      <c r="I14" s="51">
        <f t="shared" si="2"/>
        <v>324026.90000000002</v>
      </c>
      <c r="J14" s="33"/>
      <c r="K14" s="112"/>
      <c r="L14" s="40"/>
      <c r="M14" s="40"/>
      <c r="N14" s="40"/>
      <c r="O14" s="40"/>
      <c r="P14" s="40"/>
    </row>
    <row r="15" spans="1:16" ht="24.95" customHeight="1" x14ac:dyDescent="0.3">
      <c r="A15" s="52" t="s">
        <v>12</v>
      </c>
      <c r="B15" s="50" t="s">
        <v>13</v>
      </c>
      <c r="C15" s="50"/>
      <c r="D15" s="51">
        <f>D16</f>
        <v>258174.17999999996</v>
      </c>
      <c r="E15" s="51">
        <f t="shared" ref="E15:I15" si="3">E16</f>
        <v>250724.49999999997</v>
      </c>
      <c r="F15" s="51"/>
      <c r="G15" s="51">
        <f t="shared" si="3"/>
        <v>246533</v>
      </c>
      <c r="H15" s="51"/>
      <c r="I15" s="51">
        <f t="shared" si="3"/>
        <v>263102.59999999998</v>
      </c>
      <c r="J15" s="33"/>
      <c r="K15" s="112"/>
      <c r="L15" s="40"/>
      <c r="M15" s="40"/>
      <c r="N15" s="40"/>
      <c r="O15" s="40"/>
      <c r="P15" s="40"/>
    </row>
    <row r="16" spans="1:16" ht="24.75" customHeight="1" x14ac:dyDescent="0.3">
      <c r="A16" s="52" t="s">
        <v>14</v>
      </c>
      <c r="B16" s="50" t="s">
        <v>15</v>
      </c>
      <c r="C16" s="50"/>
      <c r="D16" s="51">
        <f>D17+D18+D19+D20+D23+D24</f>
        <v>258174.17999999996</v>
      </c>
      <c r="E16" s="51">
        <f t="shared" ref="E16:I16" si="4">E17+E18+E19+E20+E23+E24</f>
        <v>250724.49999999997</v>
      </c>
      <c r="F16" s="51"/>
      <c r="G16" s="51">
        <f t="shared" si="4"/>
        <v>246533</v>
      </c>
      <c r="H16" s="51"/>
      <c r="I16" s="51">
        <f t="shared" si="4"/>
        <v>263102.59999999998</v>
      </c>
      <c r="J16" s="33"/>
      <c r="K16" s="35"/>
      <c r="L16" s="40"/>
      <c r="M16" s="40"/>
      <c r="N16" s="40"/>
      <c r="O16" s="40"/>
      <c r="P16" s="40"/>
    </row>
    <row r="17" spans="1:16" ht="80.25" customHeight="1" x14ac:dyDescent="0.3">
      <c r="A17" s="53" t="s">
        <v>16</v>
      </c>
      <c r="B17" s="25" t="s">
        <v>17</v>
      </c>
      <c r="C17" s="85"/>
      <c r="D17" s="54">
        <f>238474.1+11552.8+6018.4-3869.1-3920.5+3238.8+2341-822.9+1443-53570.5-1047.6-49101.22+665.9</f>
        <v>151402.17999999996</v>
      </c>
      <c r="E17" s="54">
        <f>131240+46.3+10879.9+9395.3</f>
        <v>151561.49999999997</v>
      </c>
      <c r="F17" s="54"/>
      <c r="G17" s="54">
        <v>139273</v>
      </c>
      <c r="H17" s="54"/>
      <c r="I17" s="54">
        <f>147684-496.4</f>
        <v>147187.6</v>
      </c>
      <c r="J17" s="33"/>
      <c r="K17" s="35"/>
      <c r="L17" s="40"/>
      <c r="M17" s="40"/>
      <c r="N17" s="40"/>
      <c r="O17" s="40"/>
      <c r="P17" s="40"/>
    </row>
    <row r="18" spans="1:16" ht="104.25" customHeight="1" x14ac:dyDescent="0.3">
      <c r="A18" s="53" t="s">
        <v>18</v>
      </c>
      <c r="B18" s="25" t="s">
        <v>19</v>
      </c>
      <c r="C18" s="85"/>
      <c r="D18" s="55">
        <f>262+10</f>
        <v>272</v>
      </c>
      <c r="E18" s="55">
        <v>468</v>
      </c>
      <c r="F18" s="55"/>
      <c r="G18" s="55">
        <v>501</v>
      </c>
      <c r="H18" s="55"/>
      <c r="I18" s="55">
        <v>535</v>
      </c>
      <c r="J18" s="33"/>
      <c r="K18" s="38"/>
      <c r="L18" s="40"/>
      <c r="M18" s="40"/>
      <c r="N18" s="40"/>
      <c r="O18" s="40"/>
      <c r="P18" s="40"/>
    </row>
    <row r="19" spans="1:16" ht="51.75" customHeight="1" x14ac:dyDescent="0.3">
      <c r="A19" s="53" t="s">
        <v>20</v>
      </c>
      <c r="B19" s="25" t="s">
        <v>21</v>
      </c>
      <c r="C19" s="85"/>
      <c r="D19" s="54">
        <f>1042+53570.5-912.5</f>
        <v>53700</v>
      </c>
      <c r="E19" s="54">
        <v>2920</v>
      </c>
      <c r="F19" s="54"/>
      <c r="G19" s="54">
        <v>4376</v>
      </c>
      <c r="H19" s="54"/>
      <c r="I19" s="54">
        <v>5932</v>
      </c>
      <c r="J19" s="33"/>
      <c r="K19" s="35"/>
      <c r="L19" s="40"/>
      <c r="M19" s="40"/>
      <c r="N19" s="40"/>
      <c r="O19" s="40"/>
      <c r="P19" s="40"/>
    </row>
    <row r="20" spans="1:16" ht="97.5" customHeight="1" x14ac:dyDescent="0.3">
      <c r="A20" s="53" t="s">
        <v>22</v>
      </c>
      <c r="B20" s="25" t="s">
        <v>23</v>
      </c>
      <c r="C20" s="85"/>
      <c r="D20" s="54">
        <f>1786+714+200+100</f>
        <v>2800</v>
      </c>
      <c r="E20" s="54">
        <v>2006</v>
      </c>
      <c r="F20" s="54"/>
      <c r="G20" s="54">
        <v>2144</v>
      </c>
      <c r="H20" s="54"/>
      <c r="I20" s="54">
        <v>2292</v>
      </c>
      <c r="J20" s="33"/>
      <c r="K20" s="35"/>
      <c r="L20" s="40"/>
      <c r="M20" s="40"/>
      <c r="N20" s="40"/>
      <c r="O20" s="40"/>
      <c r="P20" s="40"/>
    </row>
    <row r="21" spans="1:16" ht="106.5" hidden="1" customHeight="1" x14ac:dyDescent="0.3">
      <c r="A21" s="53" t="s">
        <v>540</v>
      </c>
      <c r="B21" s="25" t="s">
        <v>539</v>
      </c>
      <c r="C21" s="85"/>
      <c r="D21" s="54"/>
      <c r="E21" s="54"/>
      <c r="F21" s="54"/>
      <c r="G21" s="54"/>
      <c r="H21" s="54"/>
      <c r="I21" s="54"/>
      <c r="J21" s="33"/>
      <c r="K21" s="35"/>
      <c r="L21" s="40"/>
      <c r="M21" s="40"/>
      <c r="N21" s="40"/>
      <c r="O21" s="40"/>
      <c r="P21" s="40"/>
    </row>
    <row r="22" spans="1:16" ht="55.5" hidden="1" customHeight="1" x14ac:dyDescent="0.3">
      <c r="A22" s="53" t="s">
        <v>542</v>
      </c>
      <c r="B22" s="25" t="s">
        <v>541</v>
      </c>
      <c r="C22" s="85"/>
      <c r="D22" s="54"/>
      <c r="E22" s="54"/>
      <c r="F22" s="54"/>
      <c r="G22" s="54"/>
      <c r="H22" s="54"/>
      <c r="I22" s="54"/>
      <c r="J22" s="33"/>
      <c r="K22" s="35"/>
      <c r="L22" s="40"/>
      <c r="M22" s="40"/>
      <c r="N22" s="40"/>
      <c r="O22" s="40"/>
      <c r="P22" s="40"/>
    </row>
    <row r="23" spans="1:16" ht="113.25" hidden="1" customHeight="1" x14ac:dyDescent="0.3">
      <c r="A23" s="53" t="s">
        <v>24</v>
      </c>
      <c r="B23" s="25" t="s">
        <v>543</v>
      </c>
      <c r="C23" s="85"/>
      <c r="D23" s="54"/>
      <c r="E23" s="54"/>
      <c r="F23" s="54"/>
      <c r="G23" s="54"/>
      <c r="H23" s="54"/>
      <c r="I23" s="54"/>
      <c r="J23" s="33"/>
      <c r="K23" s="35"/>
      <c r="L23" s="40"/>
      <c r="M23" s="40"/>
      <c r="N23" s="40"/>
      <c r="O23" s="40"/>
      <c r="P23" s="40"/>
    </row>
    <row r="24" spans="1:16" ht="89.25" customHeight="1" x14ac:dyDescent="0.3">
      <c r="A24" s="2" t="s">
        <v>545</v>
      </c>
      <c r="B24" s="25" t="s">
        <v>544</v>
      </c>
      <c r="C24" s="85"/>
      <c r="D24" s="54">
        <f>50+950+300+48700</f>
        <v>50000</v>
      </c>
      <c r="E24" s="54">
        <v>93769</v>
      </c>
      <c r="F24" s="54"/>
      <c r="G24" s="54">
        <v>100239</v>
      </c>
      <c r="H24" s="54"/>
      <c r="I24" s="54">
        <v>107156</v>
      </c>
      <c r="J24" s="33"/>
      <c r="K24" s="35"/>
      <c r="L24" s="40"/>
      <c r="M24" s="40"/>
      <c r="N24" s="40"/>
      <c r="O24" s="40"/>
      <c r="P24" s="40"/>
    </row>
    <row r="25" spans="1:16" ht="89.25" hidden="1" customHeight="1" x14ac:dyDescent="0.3">
      <c r="A25" s="2" t="s">
        <v>547</v>
      </c>
      <c r="B25" s="25" t="s">
        <v>546</v>
      </c>
      <c r="C25" s="85"/>
      <c r="D25" s="54"/>
      <c r="E25" s="54"/>
      <c r="F25" s="54"/>
      <c r="G25" s="54"/>
      <c r="H25" s="54"/>
      <c r="I25" s="54"/>
      <c r="J25" s="33"/>
      <c r="K25" s="35"/>
      <c r="L25" s="40"/>
      <c r="M25" s="40"/>
      <c r="N25" s="40"/>
      <c r="O25" s="40"/>
      <c r="P25" s="40"/>
    </row>
    <row r="26" spans="1:16" ht="40.5" customHeight="1" x14ac:dyDescent="0.3">
      <c r="A26" s="56" t="s">
        <v>25</v>
      </c>
      <c r="B26" s="57" t="s">
        <v>26</v>
      </c>
      <c r="C26" s="57"/>
      <c r="D26" s="51">
        <f>D27</f>
        <v>5795.6</v>
      </c>
      <c r="E26" s="51">
        <f>E27</f>
        <v>4033</v>
      </c>
      <c r="F26" s="51"/>
      <c r="G26" s="51">
        <f t="shared" ref="G26:I26" si="5">G27</f>
        <v>4003</v>
      </c>
      <c r="H26" s="51"/>
      <c r="I26" s="51">
        <f t="shared" si="5"/>
        <v>4236</v>
      </c>
      <c r="J26" s="33"/>
      <c r="K26" s="35"/>
      <c r="L26" s="40"/>
      <c r="M26" s="40"/>
      <c r="N26" s="40"/>
      <c r="O26" s="40"/>
      <c r="P26" s="40"/>
    </row>
    <row r="27" spans="1:16" ht="39" customHeight="1" x14ac:dyDescent="0.3">
      <c r="A27" s="53" t="s">
        <v>27</v>
      </c>
      <c r="B27" s="25" t="s">
        <v>28</v>
      </c>
      <c r="C27" s="85"/>
      <c r="D27" s="55">
        <f>D28+D30+D32</f>
        <v>5795.6</v>
      </c>
      <c r="E27" s="55">
        <f>E28+E30+E32</f>
        <v>4033</v>
      </c>
      <c r="F27" s="55"/>
      <c r="G27" s="55">
        <f t="shared" ref="G27:I27" si="6">G28+G30+G32</f>
        <v>4003</v>
      </c>
      <c r="H27" s="55"/>
      <c r="I27" s="55">
        <f t="shared" si="6"/>
        <v>4236</v>
      </c>
      <c r="J27" s="33"/>
      <c r="K27" s="35"/>
      <c r="L27" s="40"/>
      <c r="M27" s="40"/>
      <c r="N27" s="40"/>
      <c r="O27" s="40"/>
      <c r="P27" s="40"/>
    </row>
    <row r="28" spans="1:16" ht="84" customHeight="1" x14ac:dyDescent="0.3">
      <c r="A28" s="53" t="s">
        <v>29</v>
      </c>
      <c r="B28" s="25" t="s">
        <v>30</v>
      </c>
      <c r="C28" s="85"/>
      <c r="D28" s="54">
        <f>D29</f>
        <v>2661.1000000000004</v>
      </c>
      <c r="E28" s="54">
        <f t="shared" ref="E28:I28" si="7">E29</f>
        <v>1824</v>
      </c>
      <c r="F28" s="54"/>
      <c r="G28" s="54">
        <f t="shared" si="7"/>
        <v>1791</v>
      </c>
      <c r="H28" s="54"/>
      <c r="I28" s="54">
        <f t="shared" si="7"/>
        <v>1864</v>
      </c>
      <c r="J28" s="33"/>
      <c r="K28" s="35"/>
      <c r="L28" s="40"/>
      <c r="M28" s="40"/>
      <c r="N28" s="40"/>
      <c r="O28" s="40"/>
      <c r="P28" s="40"/>
    </row>
    <row r="29" spans="1:16" ht="110.25" customHeight="1" x14ac:dyDescent="0.3">
      <c r="A29" s="53" t="s">
        <v>504</v>
      </c>
      <c r="B29" s="25" t="s">
        <v>548</v>
      </c>
      <c r="C29" s="85"/>
      <c r="D29" s="54">
        <f>2067.8+593.3</f>
        <v>2661.1000000000004</v>
      </c>
      <c r="E29" s="54">
        <v>1824</v>
      </c>
      <c r="F29" s="54"/>
      <c r="G29" s="54">
        <v>1791</v>
      </c>
      <c r="H29" s="54"/>
      <c r="I29" s="54">
        <v>1864</v>
      </c>
      <c r="J29" s="33"/>
      <c r="K29" s="35"/>
      <c r="L29" s="40"/>
      <c r="M29" s="40"/>
      <c r="N29" s="40"/>
      <c r="O29" s="40"/>
      <c r="P29" s="40"/>
    </row>
    <row r="30" spans="1:16" ht="97.5" customHeight="1" x14ac:dyDescent="0.3">
      <c r="A30" s="2" t="s">
        <v>31</v>
      </c>
      <c r="B30" s="25" t="s">
        <v>32</v>
      </c>
      <c r="C30" s="85"/>
      <c r="D30" s="54">
        <f>D31</f>
        <v>15.200000000000001</v>
      </c>
      <c r="E30" s="54">
        <f t="shared" ref="E30:I30" si="8">E31</f>
        <v>10</v>
      </c>
      <c r="F30" s="54"/>
      <c r="G30" s="54">
        <f t="shared" si="8"/>
        <v>10</v>
      </c>
      <c r="H30" s="54"/>
      <c r="I30" s="54">
        <f t="shared" si="8"/>
        <v>11</v>
      </c>
      <c r="J30" s="33"/>
      <c r="K30" s="35"/>
      <c r="L30" s="40"/>
      <c r="M30" s="40"/>
      <c r="N30" s="40"/>
      <c r="O30" s="40"/>
      <c r="P30" s="40"/>
    </row>
    <row r="31" spans="1:16" ht="124.5" customHeight="1" x14ac:dyDescent="0.3">
      <c r="A31" s="2" t="s">
        <v>505</v>
      </c>
      <c r="B31" s="25" t="s">
        <v>549</v>
      </c>
      <c r="C31" s="85"/>
      <c r="D31" s="54">
        <f>11.8+3.4</f>
        <v>15.200000000000001</v>
      </c>
      <c r="E31" s="54">
        <v>10</v>
      </c>
      <c r="F31" s="54"/>
      <c r="G31" s="54">
        <v>10</v>
      </c>
      <c r="H31" s="54"/>
      <c r="I31" s="54">
        <v>11</v>
      </c>
      <c r="J31" s="33"/>
      <c r="K31" s="35"/>
      <c r="L31" s="40"/>
      <c r="M31" s="40"/>
      <c r="N31" s="40"/>
      <c r="O31" s="40"/>
      <c r="P31" s="40"/>
    </row>
    <row r="32" spans="1:16" ht="81" customHeight="1" x14ac:dyDescent="0.3">
      <c r="A32" s="53" t="s">
        <v>33</v>
      </c>
      <c r="B32" s="25" t="s">
        <v>34</v>
      </c>
      <c r="C32" s="85"/>
      <c r="D32" s="54">
        <f>D33</f>
        <v>3119.3</v>
      </c>
      <c r="E32" s="54">
        <f t="shared" ref="E32:I32" si="9">E33</f>
        <v>2199</v>
      </c>
      <c r="F32" s="54"/>
      <c r="G32" s="54">
        <f t="shared" si="9"/>
        <v>2202</v>
      </c>
      <c r="H32" s="54"/>
      <c r="I32" s="54">
        <f t="shared" si="9"/>
        <v>2361</v>
      </c>
      <c r="J32" s="33"/>
      <c r="K32" s="35"/>
      <c r="L32" s="40"/>
      <c r="M32" s="40"/>
      <c r="N32" s="40"/>
      <c r="O32" s="40"/>
      <c r="P32" s="40"/>
    </row>
    <row r="33" spans="1:16" ht="108" customHeight="1" x14ac:dyDescent="0.3">
      <c r="A33" s="53" t="s">
        <v>506</v>
      </c>
      <c r="B33" s="25" t="s">
        <v>550</v>
      </c>
      <c r="C33" s="85"/>
      <c r="D33" s="54">
        <f>2423.8+695.5</f>
        <v>3119.3</v>
      </c>
      <c r="E33" s="54">
        <v>2199</v>
      </c>
      <c r="F33" s="54"/>
      <c r="G33" s="54">
        <v>2202</v>
      </c>
      <c r="H33" s="54"/>
      <c r="I33" s="54">
        <v>2361</v>
      </c>
      <c r="J33" s="33"/>
      <c r="K33" s="35"/>
      <c r="L33" s="40"/>
      <c r="M33" s="40"/>
      <c r="N33" s="40"/>
      <c r="O33" s="40"/>
      <c r="P33" s="40"/>
    </row>
    <row r="34" spans="1:16" ht="68.25" hidden="1" customHeight="1" x14ac:dyDescent="0.3">
      <c r="A34" s="53" t="s">
        <v>35</v>
      </c>
      <c r="B34" s="25" t="s">
        <v>36</v>
      </c>
      <c r="C34" s="85"/>
      <c r="D34" s="54">
        <f>D35</f>
        <v>0</v>
      </c>
      <c r="E34" s="54"/>
      <c r="F34" s="54"/>
      <c r="G34" s="54"/>
      <c r="H34" s="54"/>
      <c r="I34" s="54"/>
      <c r="J34" s="33"/>
      <c r="K34" s="35"/>
      <c r="L34" s="40"/>
      <c r="M34" s="40"/>
      <c r="N34" s="40"/>
      <c r="O34" s="40"/>
      <c r="P34" s="40"/>
    </row>
    <row r="35" spans="1:16" ht="100.5" hidden="1" customHeight="1" x14ac:dyDescent="0.3">
      <c r="A35" s="53" t="s">
        <v>508</v>
      </c>
      <c r="B35" s="25" t="s">
        <v>507</v>
      </c>
      <c r="C35" s="85"/>
      <c r="D35" s="54"/>
      <c r="E35" s="54"/>
      <c r="F35" s="54"/>
      <c r="G35" s="54"/>
      <c r="H35" s="54"/>
      <c r="I35" s="54"/>
      <c r="J35" s="33"/>
      <c r="K35" s="35"/>
      <c r="L35" s="40"/>
      <c r="M35" s="40"/>
      <c r="N35" s="40"/>
      <c r="O35" s="40"/>
      <c r="P35" s="40"/>
    </row>
    <row r="36" spans="1:16" ht="24.95" customHeight="1" x14ac:dyDescent="0.3">
      <c r="A36" s="56" t="s">
        <v>37</v>
      </c>
      <c r="B36" s="57" t="s">
        <v>38</v>
      </c>
      <c r="C36" s="57"/>
      <c r="D36" s="51">
        <f>D48+D51+D53+D37</f>
        <v>27068.799999999999</v>
      </c>
      <c r="E36" s="51">
        <f t="shared" ref="E36:I36" si="10">E48+E51+E53+E37</f>
        <v>31042</v>
      </c>
      <c r="F36" s="51"/>
      <c r="G36" s="51">
        <f t="shared" si="10"/>
        <v>33205</v>
      </c>
      <c r="H36" s="51"/>
      <c r="I36" s="51">
        <f t="shared" si="10"/>
        <v>35640</v>
      </c>
      <c r="J36" s="33"/>
      <c r="K36" s="35"/>
      <c r="L36" s="40"/>
      <c r="M36" s="40"/>
      <c r="N36" s="40"/>
      <c r="O36" s="40"/>
      <c r="P36" s="40"/>
    </row>
    <row r="37" spans="1:16" ht="39" customHeight="1" x14ac:dyDescent="0.3">
      <c r="A37" s="53" t="s">
        <v>39</v>
      </c>
      <c r="B37" s="25" t="s">
        <v>40</v>
      </c>
      <c r="C37" s="85"/>
      <c r="D37" s="55">
        <f>D38+D42+D45+D46+D47</f>
        <v>23618.799999999999</v>
      </c>
      <c r="E37" s="55">
        <f t="shared" ref="E37:I37" si="11">E38+E42+E45+E46+E47</f>
        <v>29303</v>
      </c>
      <c r="F37" s="55"/>
      <c r="G37" s="55">
        <f t="shared" si="11"/>
        <v>31343</v>
      </c>
      <c r="H37" s="55"/>
      <c r="I37" s="55">
        <f t="shared" si="11"/>
        <v>33642</v>
      </c>
      <c r="J37" s="33"/>
      <c r="K37" s="35"/>
      <c r="L37" s="40"/>
      <c r="M37" s="40"/>
      <c r="N37" s="40"/>
      <c r="O37" s="40"/>
      <c r="P37" s="40"/>
    </row>
    <row r="38" spans="1:16" ht="39" customHeight="1" x14ac:dyDescent="0.3">
      <c r="A38" s="53" t="s">
        <v>41</v>
      </c>
      <c r="B38" s="25" t="s">
        <v>42</v>
      </c>
      <c r="C38" s="85"/>
      <c r="D38" s="55">
        <f>D39+D40+D41</f>
        <v>14496.8</v>
      </c>
      <c r="E38" s="55">
        <f t="shared" ref="E38:I38" si="12">E39+E40+E41</f>
        <v>18210</v>
      </c>
      <c r="F38" s="55"/>
      <c r="G38" s="55">
        <f t="shared" si="12"/>
        <v>19485</v>
      </c>
      <c r="H38" s="55"/>
      <c r="I38" s="55">
        <f t="shared" si="12"/>
        <v>20907</v>
      </c>
      <c r="J38" s="33"/>
      <c r="K38" s="35"/>
      <c r="L38" s="40"/>
      <c r="M38" s="40"/>
      <c r="N38" s="40"/>
      <c r="O38" s="40"/>
      <c r="P38" s="40"/>
    </row>
    <row r="39" spans="1:16" ht="39.75" customHeight="1" x14ac:dyDescent="0.3">
      <c r="A39" s="53" t="s">
        <v>43</v>
      </c>
      <c r="B39" s="25" t="s">
        <v>42</v>
      </c>
      <c r="C39" s="85"/>
      <c r="D39" s="55">
        <f>13696.8+800</f>
        <v>14496.8</v>
      </c>
      <c r="E39" s="55">
        <v>18210</v>
      </c>
      <c r="F39" s="55"/>
      <c r="G39" s="55">
        <v>19485</v>
      </c>
      <c r="H39" s="55"/>
      <c r="I39" s="55">
        <v>20907</v>
      </c>
      <c r="J39" s="33"/>
      <c r="K39" s="35"/>
      <c r="L39" s="40"/>
      <c r="M39" s="40"/>
      <c r="N39" s="40"/>
      <c r="O39" s="40"/>
      <c r="P39" s="40"/>
    </row>
    <row r="40" spans="1:16" ht="50.1" hidden="1" customHeight="1" x14ac:dyDescent="0.3">
      <c r="A40" s="53" t="s">
        <v>44</v>
      </c>
      <c r="B40" s="25" t="s">
        <v>45</v>
      </c>
      <c r="C40" s="85"/>
      <c r="D40" s="55"/>
      <c r="E40" s="55"/>
      <c r="F40" s="55"/>
      <c r="G40" s="55"/>
      <c r="H40" s="55"/>
      <c r="I40" s="55"/>
      <c r="J40" s="33"/>
      <c r="K40" s="35"/>
      <c r="L40" s="40"/>
      <c r="M40" s="40"/>
      <c r="N40" s="40"/>
      <c r="O40" s="40"/>
      <c r="P40" s="40"/>
    </row>
    <row r="41" spans="1:16" ht="40.5" hidden="1" customHeight="1" x14ac:dyDescent="0.3">
      <c r="A41" s="53" t="s">
        <v>44</v>
      </c>
      <c r="B41" s="25" t="s">
        <v>45</v>
      </c>
      <c r="C41" s="85"/>
      <c r="D41" s="55"/>
      <c r="E41" s="55"/>
      <c r="F41" s="55"/>
      <c r="G41" s="55"/>
      <c r="H41" s="55"/>
      <c r="I41" s="55"/>
      <c r="J41" s="33"/>
      <c r="K41" s="35"/>
      <c r="L41" s="40"/>
      <c r="M41" s="40"/>
      <c r="N41" s="40"/>
      <c r="O41" s="40"/>
      <c r="P41" s="40"/>
    </row>
    <row r="42" spans="1:16" ht="46.5" customHeight="1" x14ac:dyDescent="0.3">
      <c r="A42" s="53" t="s">
        <v>46</v>
      </c>
      <c r="B42" s="25" t="s">
        <v>47</v>
      </c>
      <c r="C42" s="85"/>
      <c r="D42" s="55">
        <f>D43</f>
        <v>9121.5</v>
      </c>
      <c r="E42" s="55">
        <f t="shared" ref="E42:I42" si="13">E43</f>
        <v>11093</v>
      </c>
      <c r="F42" s="55"/>
      <c r="G42" s="55">
        <f t="shared" si="13"/>
        <v>11858</v>
      </c>
      <c r="H42" s="55"/>
      <c r="I42" s="55">
        <f t="shared" si="13"/>
        <v>12735</v>
      </c>
      <c r="J42" s="33"/>
      <c r="K42" s="35"/>
      <c r="L42" s="40"/>
      <c r="M42" s="40"/>
      <c r="N42" s="40"/>
      <c r="O42" s="40"/>
      <c r="P42" s="40"/>
    </row>
    <row r="43" spans="1:16" ht="66.75" customHeight="1" x14ac:dyDescent="0.3">
      <c r="A43" s="53" t="s">
        <v>48</v>
      </c>
      <c r="B43" s="25" t="s">
        <v>49</v>
      </c>
      <c r="C43" s="85"/>
      <c r="D43" s="55">
        <f>9121+0.5</f>
        <v>9121.5</v>
      </c>
      <c r="E43" s="55">
        <v>11093</v>
      </c>
      <c r="F43" s="55"/>
      <c r="G43" s="55">
        <v>11858</v>
      </c>
      <c r="H43" s="55"/>
      <c r="I43" s="55">
        <v>12735</v>
      </c>
      <c r="J43" s="33"/>
      <c r="K43" s="35"/>
      <c r="L43" s="40"/>
      <c r="M43" s="40"/>
      <c r="N43" s="40"/>
      <c r="O43" s="40"/>
      <c r="P43" s="40"/>
    </row>
    <row r="44" spans="1:16" ht="62.25" hidden="1" customHeight="1" x14ac:dyDescent="0.3">
      <c r="A44" s="53" t="s">
        <v>50</v>
      </c>
      <c r="B44" s="25" t="s">
        <v>51</v>
      </c>
      <c r="C44" s="85"/>
      <c r="D44" s="51"/>
      <c r="E44" s="51"/>
      <c r="F44" s="51"/>
      <c r="G44" s="51"/>
      <c r="H44" s="51"/>
      <c r="I44" s="51"/>
      <c r="J44" s="33"/>
      <c r="K44" s="35"/>
      <c r="L44" s="40"/>
      <c r="M44" s="40"/>
      <c r="N44" s="40"/>
      <c r="O44" s="40"/>
      <c r="P44" s="40"/>
    </row>
    <row r="45" spans="1:16" ht="50.1" hidden="1" customHeight="1" x14ac:dyDescent="0.3">
      <c r="A45" s="53" t="s">
        <v>52</v>
      </c>
      <c r="B45" s="25" t="s">
        <v>53</v>
      </c>
      <c r="C45" s="85"/>
      <c r="D45" s="51"/>
      <c r="E45" s="51"/>
      <c r="F45" s="51"/>
      <c r="G45" s="51"/>
      <c r="H45" s="51"/>
      <c r="I45" s="51"/>
      <c r="J45" s="33"/>
      <c r="K45" s="35"/>
      <c r="L45" s="40"/>
      <c r="M45" s="40"/>
      <c r="N45" s="40"/>
      <c r="O45" s="40"/>
      <c r="P45" s="40"/>
    </row>
    <row r="46" spans="1:16" ht="45.75" hidden="1" customHeight="1" x14ac:dyDescent="0.3">
      <c r="A46" s="53" t="s">
        <v>54</v>
      </c>
      <c r="B46" s="25" t="s">
        <v>55</v>
      </c>
      <c r="C46" s="85"/>
      <c r="D46" s="55">
        <f>0.6-0.1</f>
        <v>0.5</v>
      </c>
      <c r="E46" s="55"/>
      <c r="F46" s="55"/>
      <c r="G46" s="55"/>
      <c r="H46" s="55"/>
      <c r="I46" s="55"/>
      <c r="J46" s="33"/>
      <c r="K46" s="35"/>
      <c r="L46" s="40"/>
      <c r="M46" s="40"/>
      <c r="N46" s="40"/>
      <c r="O46" s="40"/>
      <c r="P46" s="40"/>
    </row>
    <row r="47" spans="1:16" ht="50.1" hidden="1" customHeight="1" x14ac:dyDescent="0.3">
      <c r="A47" s="53" t="s">
        <v>54</v>
      </c>
      <c r="B47" s="25" t="s">
        <v>56</v>
      </c>
      <c r="C47" s="85"/>
      <c r="D47" s="55"/>
      <c r="E47" s="55"/>
      <c r="F47" s="55"/>
      <c r="G47" s="55"/>
      <c r="H47" s="55"/>
      <c r="I47" s="55"/>
      <c r="J47" s="33"/>
      <c r="K47" s="35"/>
      <c r="L47" s="40"/>
      <c r="M47" s="40"/>
      <c r="N47" s="40"/>
      <c r="O47" s="40"/>
      <c r="P47" s="40"/>
    </row>
    <row r="48" spans="1:16" ht="32.25" hidden="1" customHeight="1" x14ac:dyDescent="0.3">
      <c r="A48" s="53" t="s">
        <v>57</v>
      </c>
      <c r="B48" s="25" t="s">
        <v>58</v>
      </c>
      <c r="C48" s="85"/>
      <c r="D48" s="55">
        <f>D49+D50</f>
        <v>1910</v>
      </c>
      <c r="E48" s="55">
        <f t="shared" ref="E48:I48" si="14">E49+E50</f>
        <v>0</v>
      </c>
      <c r="F48" s="55"/>
      <c r="G48" s="55">
        <f t="shared" si="14"/>
        <v>0</v>
      </c>
      <c r="H48" s="55"/>
      <c r="I48" s="55">
        <f t="shared" si="14"/>
        <v>0</v>
      </c>
      <c r="J48" s="33"/>
      <c r="K48" s="35"/>
      <c r="L48" s="40"/>
      <c r="M48" s="40"/>
      <c r="N48" s="40"/>
      <c r="O48" s="40"/>
      <c r="P48" s="40"/>
    </row>
    <row r="49" spans="1:16" ht="30.75" hidden="1" customHeight="1" x14ac:dyDescent="0.3">
      <c r="A49" s="53" t="s">
        <v>59</v>
      </c>
      <c r="B49" s="25" t="s">
        <v>58</v>
      </c>
      <c r="C49" s="85"/>
      <c r="D49" s="54">
        <f>2368-458</f>
        <v>1910</v>
      </c>
      <c r="E49" s="54"/>
      <c r="F49" s="54"/>
      <c r="G49" s="54"/>
      <c r="H49" s="54"/>
      <c r="I49" s="54"/>
      <c r="J49" s="33"/>
      <c r="K49" s="35"/>
      <c r="L49" s="40"/>
      <c r="M49" s="40"/>
      <c r="N49" s="40"/>
      <c r="O49" s="40"/>
      <c r="P49" s="40"/>
    </row>
    <row r="50" spans="1:16" ht="46.5" hidden="1" customHeight="1" x14ac:dyDescent="0.3">
      <c r="A50" s="53" t="s">
        <v>60</v>
      </c>
      <c r="B50" s="25" t="s">
        <v>61</v>
      </c>
      <c r="C50" s="85"/>
      <c r="D50" s="54"/>
      <c r="E50" s="54"/>
      <c r="F50" s="54"/>
      <c r="G50" s="54"/>
      <c r="H50" s="54"/>
      <c r="I50" s="54"/>
      <c r="J50" s="33"/>
      <c r="K50" s="35"/>
      <c r="L50" s="40"/>
      <c r="M50" s="40"/>
      <c r="N50" s="40"/>
      <c r="O50" s="40"/>
      <c r="P50" s="40"/>
    </row>
    <row r="51" spans="1:16" ht="21.75" customHeight="1" x14ac:dyDescent="0.3">
      <c r="A51" s="53" t="s">
        <v>62</v>
      </c>
      <c r="B51" s="25" t="s">
        <v>63</v>
      </c>
      <c r="C51" s="85"/>
      <c r="D51" s="55">
        <f>D52</f>
        <v>290</v>
      </c>
      <c r="E51" s="55">
        <f t="shared" ref="E51:I51" si="15">E52</f>
        <v>387</v>
      </c>
      <c r="F51" s="55"/>
      <c r="G51" s="55">
        <f t="shared" si="15"/>
        <v>415</v>
      </c>
      <c r="H51" s="55"/>
      <c r="I51" s="55">
        <f t="shared" si="15"/>
        <v>445</v>
      </c>
      <c r="J51" s="33"/>
      <c r="K51" s="35"/>
      <c r="L51" s="40"/>
      <c r="M51" s="40"/>
      <c r="N51" s="40"/>
      <c r="O51" s="40"/>
      <c r="P51" s="40"/>
    </row>
    <row r="52" spans="1:16" ht="21.75" customHeight="1" x14ac:dyDescent="0.3">
      <c r="A52" s="53" t="s">
        <v>64</v>
      </c>
      <c r="B52" s="25" t="s">
        <v>63</v>
      </c>
      <c r="C52" s="85"/>
      <c r="D52" s="54">
        <f>213+69.9+30-22.9</f>
        <v>290</v>
      </c>
      <c r="E52" s="54">
        <v>387</v>
      </c>
      <c r="F52" s="54"/>
      <c r="G52" s="54">
        <v>415</v>
      </c>
      <c r="H52" s="54"/>
      <c r="I52" s="54">
        <v>445</v>
      </c>
      <c r="J52" s="33"/>
      <c r="K52" s="35"/>
      <c r="L52" s="40"/>
      <c r="M52" s="40"/>
      <c r="N52" s="40"/>
      <c r="O52" s="40"/>
      <c r="P52" s="40"/>
    </row>
    <row r="53" spans="1:16" ht="34.5" customHeight="1" x14ac:dyDescent="0.3">
      <c r="A53" s="53" t="s">
        <v>65</v>
      </c>
      <c r="B53" s="25" t="s">
        <v>66</v>
      </c>
      <c r="C53" s="85"/>
      <c r="D53" s="55">
        <f>D54</f>
        <v>1250</v>
      </c>
      <c r="E53" s="55">
        <f t="shared" ref="E53:I53" si="16">E54</f>
        <v>1352</v>
      </c>
      <c r="F53" s="55"/>
      <c r="G53" s="55">
        <f t="shared" si="16"/>
        <v>1447</v>
      </c>
      <c r="H53" s="55"/>
      <c r="I53" s="55">
        <f t="shared" si="16"/>
        <v>1553</v>
      </c>
      <c r="J53" s="33"/>
      <c r="K53" s="35"/>
      <c r="L53" s="40"/>
      <c r="M53" s="40"/>
      <c r="N53" s="40"/>
      <c r="O53" s="40"/>
      <c r="P53" s="40"/>
    </row>
    <row r="54" spans="1:16" ht="37.5" customHeight="1" x14ac:dyDescent="0.3">
      <c r="A54" s="53" t="s">
        <v>67</v>
      </c>
      <c r="B54" s="25" t="s">
        <v>68</v>
      </c>
      <c r="C54" s="85"/>
      <c r="D54" s="54">
        <f>71+479+450+50+110+90</f>
        <v>1250</v>
      </c>
      <c r="E54" s="54">
        <v>1352</v>
      </c>
      <c r="F54" s="54"/>
      <c r="G54" s="54">
        <v>1447</v>
      </c>
      <c r="H54" s="54"/>
      <c r="I54" s="54">
        <v>1553</v>
      </c>
      <c r="J54" s="33"/>
      <c r="K54" s="35"/>
      <c r="L54" s="40"/>
      <c r="M54" s="40"/>
      <c r="N54" s="40"/>
      <c r="O54" s="40"/>
      <c r="P54" s="40"/>
    </row>
    <row r="55" spans="1:16" ht="22.5" customHeight="1" x14ac:dyDescent="0.3">
      <c r="A55" s="56" t="s">
        <v>69</v>
      </c>
      <c r="B55" s="57" t="s">
        <v>70</v>
      </c>
      <c r="C55" s="57"/>
      <c r="D55" s="51">
        <f>D56+D58</f>
        <v>3465</v>
      </c>
      <c r="E55" s="51">
        <f t="shared" ref="E55:I55" si="17">E56+E58</f>
        <v>4316</v>
      </c>
      <c r="F55" s="51"/>
      <c r="G55" s="51">
        <f t="shared" si="17"/>
        <v>4402</v>
      </c>
      <c r="H55" s="51"/>
      <c r="I55" s="51">
        <f t="shared" si="17"/>
        <v>4469</v>
      </c>
      <c r="J55" s="33"/>
      <c r="K55" s="35"/>
      <c r="L55" s="40"/>
      <c r="M55" s="40"/>
      <c r="N55" s="40"/>
      <c r="O55" s="40"/>
      <c r="P55" s="40"/>
    </row>
    <row r="56" spans="1:16" ht="21.75" customHeight="1" x14ac:dyDescent="0.3">
      <c r="A56" s="2" t="s">
        <v>71</v>
      </c>
      <c r="B56" s="25" t="s">
        <v>72</v>
      </c>
      <c r="C56" s="85"/>
      <c r="D56" s="55">
        <f>D57</f>
        <v>1386</v>
      </c>
      <c r="E56" s="55">
        <f t="shared" ref="E56:I56" si="18">E57</f>
        <v>1614</v>
      </c>
      <c r="F56" s="55"/>
      <c r="G56" s="55">
        <f t="shared" si="18"/>
        <v>1643</v>
      </c>
      <c r="H56" s="55"/>
      <c r="I56" s="55">
        <f t="shared" si="18"/>
        <v>1658</v>
      </c>
      <c r="J56" s="33"/>
      <c r="K56" s="35"/>
      <c r="L56" s="40"/>
      <c r="M56" s="40"/>
      <c r="N56" s="40"/>
      <c r="O56" s="40"/>
      <c r="P56" s="40"/>
    </row>
    <row r="57" spans="1:16" ht="44.25" customHeight="1" x14ac:dyDescent="0.3">
      <c r="A57" s="2" t="s">
        <v>73</v>
      </c>
      <c r="B57" s="25" t="s">
        <v>74</v>
      </c>
      <c r="C57" s="85"/>
      <c r="D57" s="54">
        <v>1386</v>
      </c>
      <c r="E57" s="54">
        <v>1614</v>
      </c>
      <c r="F57" s="54"/>
      <c r="G57" s="54">
        <v>1643</v>
      </c>
      <c r="H57" s="54"/>
      <c r="I57" s="54">
        <v>1658</v>
      </c>
      <c r="J57" s="33"/>
      <c r="K57" s="35"/>
      <c r="L57" s="40"/>
      <c r="M57" s="40"/>
      <c r="N57" s="40"/>
      <c r="O57" s="40"/>
      <c r="P57" s="40"/>
    </row>
    <row r="58" spans="1:16" ht="19.5" customHeight="1" x14ac:dyDescent="0.3">
      <c r="A58" s="2" t="s">
        <v>75</v>
      </c>
      <c r="B58" s="25" t="s">
        <v>76</v>
      </c>
      <c r="C58" s="85"/>
      <c r="D58" s="55">
        <f>D59+D61</f>
        <v>2079</v>
      </c>
      <c r="E58" s="55">
        <f t="shared" ref="E58:I58" si="19">E59+E61</f>
        <v>2702</v>
      </c>
      <c r="F58" s="55"/>
      <c r="G58" s="55">
        <f t="shared" si="19"/>
        <v>2759</v>
      </c>
      <c r="H58" s="55"/>
      <c r="I58" s="55">
        <f t="shared" si="19"/>
        <v>2811</v>
      </c>
      <c r="J58" s="33"/>
      <c r="K58" s="35"/>
      <c r="L58" s="40"/>
      <c r="M58" s="40"/>
      <c r="N58" s="40"/>
      <c r="O58" s="40"/>
      <c r="P58" s="40"/>
    </row>
    <row r="59" spans="1:16" ht="20.25" customHeight="1" x14ac:dyDescent="0.3">
      <c r="A59" s="2" t="s">
        <v>77</v>
      </c>
      <c r="B59" s="25" t="s">
        <v>78</v>
      </c>
      <c r="C59" s="85"/>
      <c r="D59" s="55">
        <f>D60</f>
        <v>1615</v>
      </c>
      <c r="E59" s="55">
        <f t="shared" ref="E59:I59" si="20">E60</f>
        <v>2235</v>
      </c>
      <c r="F59" s="55"/>
      <c r="G59" s="55">
        <f t="shared" si="20"/>
        <v>2268</v>
      </c>
      <c r="H59" s="55"/>
      <c r="I59" s="55">
        <f t="shared" si="20"/>
        <v>2302</v>
      </c>
      <c r="J59" s="33"/>
      <c r="K59" s="35"/>
      <c r="L59" s="40"/>
      <c r="M59" s="40"/>
      <c r="N59" s="40"/>
      <c r="O59" s="40"/>
      <c r="P59" s="40"/>
    </row>
    <row r="60" spans="1:16" ht="36.75" customHeight="1" x14ac:dyDescent="0.3">
      <c r="A60" s="2" t="s">
        <v>79</v>
      </c>
      <c r="B60" s="25" t="s">
        <v>80</v>
      </c>
      <c r="C60" s="85"/>
      <c r="D60" s="54">
        <v>1615</v>
      </c>
      <c r="E60" s="54">
        <v>2235</v>
      </c>
      <c r="F60" s="54"/>
      <c r="G60" s="54">
        <v>2268</v>
      </c>
      <c r="H60" s="54"/>
      <c r="I60" s="54">
        <v>2302</v>
      </c>
      <c r="J60" s="33"/>
      <c r="K60" s="35"/>
      <c r="L60" s="40"/>
      <c r="M60" s="40"/>
      <c r="N60" s="40"/>
      <c r="O60" s="40"/>
      <c r="P60" s="40"/>
    </row>
    <row r="61" spans="1:16" ht="22.5" customHeight="1" x14ac:dyDescent="0.3">
      <c r="A61" s="2" t="s">
        <v>81</v>
      </c>
      <c r="B61" s="25" t="s">
        <v>82</v>
      </c>
      <c r="C61" s="85"/>
      <c r="D61" s="55">
        <f>D62</f>
        <v>464</v>
      </c>
      <c r="E61" s="55">
        <f t="shared" ref="E61:I61" si="21">E62</f>
        <v>467</v>
      </c>
      <c r="F61" s="55"/>
      <c r="G61" s="55">
        <f t="shared" si="21"/>
        <v>491</v>
      </c>
      <c r="H61" s="55"/>
      <c r="I61" s="55">
        <f t="shared" si="21"/>
        <v>509</v>
      </c>
      <c r="J61" s="33"/>
      <c r="K61" s="35"/>
      <c r="L61" s="40"/>
      <c r="M61" s="40"/>
      <c r="N61" s="40"/>
      <c r="O61" s="40"/>
      <c r="P61" s="40"/>
    </row>
    <row r="62" spans="1:16" ht="42.75" customHeight="1" x14ac:dyDescent="0.3">
      <c r="A62" s="2" t="s">
        <v>83</v>
      </c>
      <c r="B62" s="25" t="s">
        <v>84</v>
      </c>
      <c r="C62" s="85"/>
      <c r="D62" s="55">
        <v>464</v>
      </c>
      <c r="E62" s="55">
        <v>467</v>
      </c>
      <c r="F62" s="55"/>
      <c r="G62" s="55">
        <v>491</v>
      </c>
      <c r="H62" s="55"/>
      <c r="I62" s="55">
        <v>509</v>
      </c>
      <c r="J62" s="33"/>
      <c r="K62" s="35"/>
      <c r="L62" s="40"/>
      <c r="M62" s="40"/>
      <c r="N62" s="40"/>
      <c r="O62" s="40"/>
      <c r="P62" s="40"/>
    </row>
    <row r="63" spans="1:16" ht="18.75" customHeight="1" x14ac:dyDescent="0.3">
      <c r="A63" s="56" t="s">
        <v>85</v>
      </c>
      <c r="B63" s="57" t="s">
        <v>86</v>
      </c>
      <c r="C63" s="57"/>
      <c r="D63" s="51">
        <f>D64+D68+D66</f>
        <v>1734</v>
      </c>
      <c r="E63" s="51">
        <f t="shared" ref="E63:I63" si="22">E64+E68+E66</f>
        <v>1516</v>
      </c>
      <c r="F63" s="51"/>
      <c r="G63" s="51">
        <f t="shared" si="22"/>
        <v>1576</v>
      </c>
      <c r="H63" s="51"/>
      <c r="I63" s="51">
        <f t="shared" si="22"/>
        <v>1639</v>
      </c>
      <c r="J63" s="33"/>
      <c r="K63" s="35"/>
      <c r="L63" s="40"/>
      <c r="M63" s="40"/>
      <c r="N63" s="40"/>
      <c r="O63" s="40"/>
      <c r="P63" s="40"/>
    </row>
    <row r="64" spans="1:16" ht="38.25" customHeight="1" x14ac:dyDescent="0.3">
      <c r="A64" s="53" t="s">
        <v>87</v>
      </c>
      <c r="B64" s="25" t="s">
        <v>88</v>
      </c>
      <c r="C64" s="85"/>
      <c r="D64" s="55">
        <f>D65</f>
        <v>1734</v>
      </c>
      <c r="E64" s="55">
        <f t="shared" ref="E64:I64" si="23">E65</f>
        <v>1516</v>
      </c>
      <c r="F64" s="55"/>
      <c r="G64" s="55">
        <f t="shared" si="23"/>
        <v>1576</v>
      </c>
      <c r="H64" s="55"/>
      <c r="I64" s="55">
        <f t="shared" si="23"/>
        <v>1639</v>
      </c>
      <c r="J64" s="33"/>
      <c r="K64" s="35"/>
      <c r="L64" s="40"/>
      <c r="M64" s="40"/>
      <c r="N64" s="40"/>
      <c r="O64" s="40"/>
      <c r="P64" s="40"/>
    </row>
    <row r="65" spans="1:16" ht="56.25" customHeight="1" x14ac:dyDescent="0.3">
      <c r="A65" s="53" t="s">
        <v>89</v>
      </c>
      <c r="B65" s="25" t="s">
        <v>90</v>
      </c>
      <c r="C65" s="85"/>
      <c r="D65" s="54">
        <v>1734</v>
      </c>
      <c r="E65" s="54">
        <v>1516</v>
      </c>
      <c r="F65" s="54"/>
      <c r="G65" s="54">
        <v>1576</v>
      </c>
      <c r="H65" s="54"/>
      <c r="I65" s="54">
        <v>1639</v>
      </c>
      <c r="J65" s="33"/>
      <c r="K65" s="35"/>
      <c r="L65" s="40"/>
      <c r="M65" s="40"/>
      <c r="N65" s="40"/>
      <c r="O65" s="40"/>
      <c r="P65" s="40"/>
    </row>
    <row r="66" spans="1:16" ht="51.75" hidden="1" customHeight="1" x14ac:dyDescent="0.3">
      <c r="A66" s="53" t="s">
        <v>91</v>
      </c>
      <c r="B66" s="25" t="s">
        <v>92</v>
      </c>
      <c r="C66" s="85"/>
      <c r="D66" s="54"/>
      <c r="E66" s="54"/>
      <c r="F66" s="54"/>
      <c r="G66" s="54"/>
      <c r="H66" s="54"/>
      <c r="I66" s="54"/>
      <c r="J66" s="33"/>
      <c r="K66" s="35"/>
      <c r="L66" s="40"/>
      <c r="M66" s="40"/>
      <c r="N66" s="40"/>
      <c r="O66" s="40"/>
      <c r="P66" s="40"/>
    </row>
    <row r="67" spans="1:16" ht="66.75" hidden="1" customHeight="1" x14ac:dyDescent="0.3">
      <c r="A67" s="53" t="s">
        <v>93</v>
      </c>
      <c r="B67" s="25" t="s">
        <v>94</v>
      </c>
      <c r="C67" s="85"/>
      <c r="D67" s="54"/>
      <c r="E67" s="54"/>
      <c r="F67" s="54"/>
      <c r="G67" s="54"/>
      <c r="H67" s="54"/>
      <c r="I67" s="54"/>
      <c r="J67" s="33"/>
      <c r="K67" s="35"/>
      <c r="L67" s="40"/>
      <c r="M67" s="40"/>
      <c r="N67" s="40"/>
      <c r="O67" s="40"/>
      <c r="P67" s="40"/>
    </row>
    <row r="68" spans="1:16" ht="41.25" hidden="1" customHeight="1" x14ac:dyDescent="0.3">
      <c r="A68" s="53" t="s">
        <v>95</v>
      </c>
      <c r="B68" s="25" t="s">
        <v>96</v>
      </c>
      <c r="C68" s="85"/>
      <c r="D68" s="55">
        <f>D69</f>
        <v>0</v>
      </c>
      <c r="E68" s="55"/>
      <c r="F68" s="55"/>
      <c r="G68" s="55">
        <f t="shared" ref="G68:I68" si="24">G69</f>
        <v>0</v>
      </c>
      <c r="H68" s="55"/>
      <c r="I68" s="55">
        <f t="shared" si="24"/>
        <v>0</v>
      </c>
      <c r="J68" s="33"/>
      <c r="K68" s="35"/>
      <c r="L68" s="40"/>
      <c r="M68" s="40"/>
      <c r="N68" s="40"/>
      <c r="O68" s="40"/>
      <c r="P68" s="40"/>
    </row>
    <row r="69" spans="1:16" ht="36" hidden="1" customHeight="1" x14ac:dyDescent="0.3">
      <c r="A69" s="53" t="s">
        <v>97</v>
      </c>
      <c r="B69" s="25" t="s">
        <v>98</v>
      </c>
      <c r="C69" s="85"/>
      <c r="D69" s="54">
        <f>5-5</f>
        <v>0</v>
      </c>
      <c r="E69" s="54"/>
      <c r="F69" s="54"/>
      <c r="G69" s="54"/>
      <c r="H69" s="54"/>
      <c r="I69" s="54"/>
      <c r="J69" s="33"/>
      <c r="K69" s="35"/>
      <c r="L69" s="40"/>
      <c r="M69" s="40"/>
      <c r="N69" s="40"/>
      <c r="O69" s="40"/>
      <c r="P69" s="40"/>
    </row>
    <row r="70" spans="1:16" ht="64.5" hidden="1" customHeight="1" x14ac:dyDescent="0.3">
      <c r="A70" s="53" t="s">
        <v>99</v>
      </c>
      <c r="B70" s="27" t="s">
        <v>100</v>
      </c>
      <c r="C70" s="86"/>
      <c r="D70" s="54"/>
      <c r="E70" s="54"/>
      <c r="F70" s="54"/>
      <c r="G70" s="54"/>
      <c r="H70" s="54"/>
      <c r="I70" s="54"/>
      <c r="J70" s="33"/>
      <c r="K70" s="35"/>
      <c r="L70" s="40"/>
      <c r="M70" s="40"/>
      <c r="N70" s="40"/>
      <c r="O70" s="40"/>
      <c r="P70" s="40"/>
    </row>
    <row r="71" spans="1:16" ht="89.25" hidden="1" customHeight="1" x14ac:dyDescent="0.3">
      <c r="A71" s="2" t="s">
        <v>101</v>
      </c>
      <c r="B71" s="25" t="s">
        <v>102</v>
      </c>
      <c r="C71" s="85"/>
      <c r="D71" s="54"/>
      <c r="E71" s="54"/>
      <c r="F71" s="54"/>
      <c r="G71" s="54"/>
      <c r="H71" s="54"/>
      <c r="I71" s="54"/>
      <c r="J71" s="33"/>
      <c r="K71" s="35"/>
      <c r="L71" s="40"/>
      <c r="M71" s="40"/>
      <c r="N71" s="40"/>
      <c r="O71" s="40"/>
      <c r="P71" s="40"/>
    </row>
    <row r="72" spans="1:16" ht="44.25" customHeight="1" x14ac:dyDescent="0.3">
      <c r="A72" s="56" t="s">
        <v>103</v>
      </c>
      <c r="B72" s="57" t="s">
        <v>104</v>
      </c>
      <c r="C72" s="57"/>
      <c r="D72" s="51">
        <f>D73+D78</f>
        <v>11000</v>
      </c>
      <c r="E72" s="51">
        <f t="shared" ref="E72:I72" si="25">E73+E78</f>
        <v>10700</v>
      </c>
      <c r="F72" s="51"/>
      <c r="G72" s="51">
        <f t="shared" si="25"/>
        <v>10700</v>
      </c>
      <c r="H72" s="51"/>
      <c r="I72" s="51">
        <f t="shared" si="25"/>
        <v>10700</v>
      </c>
      <c r="J72" s="33"/>
      <c r="K72" s="35"/>
      <c r="L72" s="40"/>
      <c r="M72" s="40"/>
      <c r="N72" s="40"/>
      <c r="O72" s="40"/>
      <c r="P72" s="40"/>
    </row>
    <row r="73" spans="1:16" ht="88.5" customHeight="1" x14ac:dyDescent="0.3">
      <c r="A73" s="53" t="s">
        <v>105</v>
      </c>
      <c r="B73" s="25" t="s">
        <v>106</v>
      </c>
      <c r="C73" s="85"/>
      <c r="D73" s="55">
        <f>D74+D76</f>
        <v>9500</v>
      </c>
      <c r="E73" s="55">
        <f>E74+E76</f>
        <v>9200</v>
      </c>
      <c r="F73" s="55"/>
      <c r="G73" s="55">
        <f t="shared" ref="G73:I73" si="26">G74+G76</f>
        <v>9200</v>
      </c>
      <c r="H73" s="55"/>
      <c r="I73" s="55">
        <f t="shared" si="26"/>
        <v>9200</v>
      </c>
      <c r="J73" s="33"/>
      <c r="K73" s="35"/>
      <c r="L73" s="40"/>
      <c r="M73" s="40"/>
      <c r="N73" s="40"/>
      <c r="O73" s="40"/>
      <c r="P73" s="40"/>
    </row>
    <row r="74" spans="1:16" ht="75.75" customHeight="1" x14ac:dyDescent="0.3">
      <c r="A74" s="53" t="s">
        <v>107</v>
      </c>
      <c r="B74" s="25" t="s">
        <v>108</v>
      </c>
      <c r="C74" s="85"/>
      <c r="D74" s="55">
        <f>D75</f>
        <v>6300</v>
      </c>
      <c r="E74" s="55">
        <f>E75</f>
        <v>6000</v>
      </c>
      <c r="F74" s="55"/>
      <c r="G74" s="55">
        <f t="shared" ref="G74:I74" si="27">G75</f>
        <v>6000</v>
      </c>
      <c r="H74" s="55"/>
      <c r="I74" s="55">
        <f t="shared" si="27"/>
        <v>6000</v>
      </c>
      <c r="J74" s="33"/>
      <c r="K74" s="35"/>
      <c r="L74" s="40"/>
      <c r="M74" s="40"/>
      <c r="N74" s="40"/>
      <c r="O74" s="40"/>
      <c r="P74" s="40"/>
    </row>
    <row r="75" spans="1:16" ht="81.75" customHeight="1" x14ac:dyDescent="0.3">
      <c r="A75" s="3" t="s">
        <v>109</v>
      </c>
      <c r="B75" s="25" t="s">
        <v>110</v>
      </c>
      <c r="C75" s="85"/>
      <c r="D75" s="55">
        <f>5000+1300</f>
        <v>6300</v>
      </c>
      <c r="E75" s="55">
        <v>6000</v>
      </c>
      <c r="F75" s="55"/>
      <c r="G75" s="55">
        <v>6000</v>
      </c>
      <c r="H75" s="55"/>
      <c r="I75" s="55">
        <v>6000</v>
      </c>
      <c r="J75" s="33"/>
      <c r="K75" s="38"/>
      <c r="L75" s="40"/>
      <c r="M75" s="40"/>
      <c r="N75" s="40"/>
      <c r="O75" s="40"/>
      <c r="P75" s="40"/>
    </row>
    <row r="76" spans="1:16" ht="53.25" customHeight="1" x14ac:dyDescent="0.3">
      <c r="A76" s="53" t="s">
        <v>628</v>
      </c>
      <c r="B76" s="25" t="s">
        <v>629</v>
      </c>
      <c r="C76" s="85"/>
      <c r="D76" s="55">
        <f>D77</f>
        <v>3200</v>
      </c>
      <c r="E76" s="55">
        <f t="shared" ref="E76:I76" si="28">E77</f>
        <v>3200</v>
      </c>
      <c r="F76" s="55"/>
      <c r="G76" s="55">
        <f t="shared" si="28"/>
        <v>3200</v>
      </c>
      <c r="H76" s="55"/>
      <c r="I76" s="55">
        <f t="shared" si="28"/>
        <v>3200</v>
      </c>
      <c r="J76" s="33"/>
      <c r="K76" s="35"/>
      <c r="L76" s="40"/>
      <c r="M76" s="40"/>
      <c r="N76" s="40"/>
      <c r="O76" s="40"/>
      <c r="P76" s="40"/>
    </row>
    <row r="77" spans="1:16" ht="47.25" customHeight="1" x14ac:dyDescent="0.3">
      <c r="A77" s="3" t="s">
        <v>626</v>
      </c>
      <c r="B77" s="25" t="s">
        <v>627</v>
      </c>
      <c r="C77" s="85"/>
      <c r="D77" s="54">
        <f>3000+200</f>
        <v>3200</v>
      </c>
      <c r="E77" s="54">
        <v>3200</v>
      </c>
      <c r="F77" s="54"/>
      <c r="G77" s="54">
        <v>3200</v>
      </c>
      <c r="H77" s="54"/>
      <c r="I77" s="54">
        <v>3200</v>
      </c>
      <c r="J77" s="33"/>
      <c r="K77" s="35"/>
      <c r="L77" s="40"/>
      <c r="M77" s="40"/>
      <c r="N77" s="40"/>
      <c r="O77" s="40"/>
      <c r="P77" s="40"/>
    </row>
    <row r="78" spans="1:16" ht="77.25" customHeight="1" x14ac:dyDescent="0.3">
      <c r="A78" s="53" t="s">
        <v>111</v>
      </c>
      <c r="B78" s="25" t="s">
        <v>551</v>
      </c>
      <c r="C78" s="85"/>
      <c r="D78" s="54">
        <f t="shared" ref="D78:I79" si="29">D79</f>
        <v>1500</v>
      </c>
      <c r="E78" s="54">
        <f t="shared" si="29"/>
        <v>1500</v>
      </c>
      <c r="F78" s="54"/>
      <c r="G78" s="54">
        <f t="shared" si="29"/>
        <v>1500</v>
      </c>
      <c r="H78" s="54"/>
      <c r="I78" s="54">
        <f t="shared" si="29"/>
        <v>1500</v>
      </c>
      <c r="J78" s="33"/>
      <c r="K78" s="35"/>
      <c r="L78" s="40"/>
      <c r="M78" s="40"/>
      <c r="N78" s="40"/>
      <c r="O78" s="40"/>
      <c r="P78" s="40"/>
    </row>
    <row r="79" spans="1:16" ht="86.25" customHeight="1" x14ac:dyDescent="0.3">
      <c r="A79" s="53" t="s">
        <v>112</v>
      </c>
      <c r="B79" s="25" t="s">
        <v>552</v>
      </c>
      <c r="C79" s="85"/>
      <c r="D79" s="54">
        <f t="shared" si="29"/>
        <v>1500</v>
      </c>
      <c r="E79" s="54">
        <f t="shared" si="29"/>
        <v>1500</v>
      </c>
      <c r="F79" s="54"/>
      <c r="G79" s="54">
        <f t="shared" si="29"/>
        <v>1500</v>
      </c>
      <c r="H79" s="54"/>
      <c r="I79" s="54">
        <f t="shared" si="29"/>
        <v>1500</v>
      </c>
      <c r="J79" s="33"/>
      <c r="K79" s="35"/>
      <c r="L79" s="40"/>
      <c r="M79" s="40"/>
      <c r="N79" s="40"/>
      <c r="O79" s="40"/>
      <c r="P79" s="40"/>
    </row>
    <row r="80" spans="1:16" ht="79.5" customHeight="1" x14ac:dyDescent="0.3">
      <c r="A80" s="53" t="s">
        <v>503</v>
      </c>
      <c r="B80" s="25" t="s">
        <v>553</v>
      </c>
      <c r="C80" s="85"/>
      <c r="D80" s="54">
        <v>1500</v>
      </c>
      <c r="E80" s="54">
        <v>1500</v>
      </c>
      <c r="F80" s="54"/>
      <c r="G80" s="54">
        <v>1500</v>
      </c>
      <c r="H80" s="54"/>
      <c r="I80" s="54">
        <v>1500</v>
      </c>
      <c r="J80" s="33"/>
      <c r="K80" s="35"/>
      <c r="L80" s="40"/>
      <c r="M80" s="40"/>
      <c r="N80" s="40"/>
      <c r="O80" s="40"/>
      <c r="P80" s="40"/>
    </row>
    <row r="81" spans="1:16" ht="25.5" customHeight="1" x14ac:dyDescent="0.3">
      <c r="A81" s="56" t="s">
        <v>113</v>
      </c>
      <c r="B81" s="57" t="s">
        <v>114</v>
      </c>
      <c r="C81" s="57"/>
      <c r="D81" s="51">
        <f>D82</f>
        <v>415.4</v>
      </c>
      <c r="E81" s="51">
        <f t="shared" ref="E81:I81" si="30">E82</f>
        <v>285.8</v>
      </c>
      <c r="F81" s="51"/>
      <c r="G81" s="51">
        <f t="shared" si="30"/>
        <v>316.60000000000002</v>
      </c>
      <c r="H81" s="51"/>
      <c r="I81" s="51">
        <f t="shared" si="30"/>
        <v>362.9</v>
      </c>
      <c r="J81" s="33"/>
      <c r="K81" s="35"/>
      <c r="L81" s="40"/>
      <c r="M81" s="40"/>
      <c r="N81" s="40"/>
      <c r="O81" s="40"/>
      <c r="P81" s="40"/>
    </row>
    <row r="82" spans="1:16" ht="23.25" customHeight="1" x14ac:dyDescent="0.3">
      <c r="A82" s="53" t="s">
        <v>115</v>
      </c>
      <c r="B82" s="25" t="s">
        <v>116</v>
      </c>
      <c r="C82" s="85"/>
      <c r="D82" s="55">
        <f>D83+D84+D85+D86</f>
        <v>415.4</v>
      </c>
      <c r="E82" s="55">
        <f t="shared" ref="E82:I82" si="31">E83+E84+E85+E86</f>
        <v>285.8</v>
      </c>
      <c r="F82" s="55"/>
      <c r="G82" s="55">
        <f t="shared" si="31"/>
        <v>316.60000000000002</v>
      </c>
      <c r="H82" s="55"/>
      <c r="I82" s="55">
        <f t="shared" si="31"/>
        <v>362.9</v>
      </c>
      <c r="J82" s="33"/>
      <c r="K82" s="35"/>
      <c r="L82" s="40"/>
      <c r="M82" s="40"/>
      <c r="N82" s="40"/>
      <c r="O82" s="40"/>
      <c r="P82" s="40"/>
    </row>
    <row r="83" spans="1:16" ht="34.5" customHeight="1" x14ac:dyDescent="0.3">
      <c r="A83" s="53" t="s">
        <v>117</v>
      </c>
      <c r="B83" s="25" t="s">
        <v>118</v>
      </c>
      <c r="C83" s="85"/>
      <c r="D83" s="54">
        <f>106.6+24.2</f>
        <v>130.79999999999998</v>
      </c>
      <c r="E83" s="54">
        <f>91.9+11.2</f>
        <v>103.10000000000001</v>
      </c>
      <c r="F83" s="54"/>
      <c r="G83" s="54">
        <v>102.1</v>
      </c>
      <c r="H83" s="54"/>
      <c r="I83" s="54">
        <v>126.3</v>
      </c>
      <c r="J83" s="33"/>
      <c r="K83" s="35"/>
      <c r="L83" s="40"/>
      <c r="M83" s="40"/>
      <c r="N83" s="40"/>
      <c r="O83" s="40"/>
      <c r="P83" s="40"/>
    </row>
    <row r="84" spans="1:16" ht="28.5" hidden="1" customHeight="1" x14ac:dyDescent="0.3">
      <c r="A84" s="53" t="s">
        <v>119</v>
      </c>
      <c r="B84" s="25" t="s">
        <v>120</v>
      </c>
      <c r="C84" s="85"/>
      <c r="D84" s="54"/>
      <c r="E84" s="54"/>
      <c r="F84" s="54"/>
      <c r="G84" s="54"/>
      <c r="H84" s="54"/>
      <c r="I84" s="54"/>
      <c r="J84" s="33"/>
      <c r="K84" s="35"/>
      <c r="L84" s="40"/>
      <c r="M84" s="40"/>
      <c r="N84" s="40"/>
      <c r="O84" s="40"/>
      <c r="P84" s="40"/>
    </row>
    <row r="85" spans="1:16" ht="21.75" customHeight="1" x14ac:dyDescent="0.3">
      <c r="A85" s="53" t="s">
        <v>121</v>
      </c>
      <c r="B85" s="25" t="s">
        <v>122</v>
      </c>
      <c r="C85" s="85"/>
      <c r="D85" s="54">
        <f>35.5-4.7</f>
        <v>30.8</v>
      </c>
      <c r="E85" s="54">
        <v>10.8</v>
      </c>
      <c r="F85" s="54"/>
      <c r="G85" s="54">
        <v>11.2</v>
      </c>
      <c r="H85" s="54"/>
      <c r="I85" s="54">
        <v>18.399999999999999</v>
      </c>
      <c r="J85" s="33"/>
      <c r="K85" s="35"/>
      <c r="L85" s="40"/>
      <c r="M85" s="40"/>
      <c r="N85" s="40"/>
      <c r="O85" s="40"/>
      <c r="P85" s="40"/>
    </row>
    <row r="86" spans="1:16" ht="20.25" customHeight="1" x14ac:dyDescent="0.3">
      <c r="A86" s="53" t="s">
        <v>123</v>
      </c>
      <c r="B86" s="25" t="s">
        <v>124</v>
      </c>
      <c r="C86" s="85"/>
      <c r="D86" s="54">
        <f>D87+D88</f>
        <v>253.8</v>
      </c>
      <c r="E86" s="54">
        <f>E87+E88</f>
        <v>171.9</v>
      </c>
      <c r="F86" s="54"/>
      <c r="G86" s="54">
        <f t="shared" ref="G86:I86" si="32">G87+G88</f>
        <v>203.3</v>
      </c>
      <c r="H86" s="54"/>
      <c r="I86" s="54">
        <f t="shared" si="32"/>
        <v>218.2</v>
      </c>
      <c r="J86" s="33"/>
      <c r="K86" s="35"/>
      <c r="L86" s="40"/>
      <c r="M86" s="40"/>
      <c r="N86" s="40"/>
      <c r="O86" s="40"/>
      <c r="P86" s="40"/>
    </row>
    <row r="87" spans="1:16" ht="19.5" customHeight="1" x14ac:dyDescent="0.3">
      <c r="A87" s="53" t="s">
        <v>125</v>
      </c>
      <c r="B87" s="25" t="s">
        <v>126</v>
      </c>
      <c r="C87" s="85"/>
      <c r="D87" s="54">
        <f>27.1+4.7</f>
        <v>31.8</v>
      </c>
      <c r="E87" s="54">
        <v>12.9</v>
      </c>
      <c r="F87" s="54"/>
      <c r="G87" s="54">
        <v>26.3</v>
      </c>
      <c r="H87" s="54"/>
      <c r="I87" s="54">
        <v>34.1</v>
      </c>
      <c r="J87" s="33"/>
      <c r="K87" s="35"/>
      <c r="L87" s="40"/>
      <c r="M87" s="40"/>
      <c r="N87" s="40"/>
      <c r="O87" s="40"/>
      <c r="P87" s="40"/>
    </row>
    <row r="88" spans="1:16" ht="21.75" customHeight="1" x14ac:dyDescent="0.3">
      <c r="A88" s="53" t="s">
        <v>127</v>
      </c>
      <c r="B88" s="25" t="s">
        <v>128</v>
      </c>
      <c r="C88" s="85"/>
      <c r="D88" s="54">
        <f>248.7-26.7</f>
        <v>222</v>
      </c>
      <c r="E88" s="54">
        <f>170.2-11.2</f>
        <v>159</v>
      </c>
      <c r="F88" s="54"/>
      <c r="G88" s="54">
        <v>177</v>
      </c>
      <c r="H88" s="54"/>
      <c r="I88" s="54">
        <v>184.1</v>
      </c>
      <c r="J88" s="33"/>
      <c r="K88" s="35"/>
      <c r="L88" s="40"/>
      <c r="M88" s="40"/>
      <c r="N88" s="40"/>
      <c r="O88" s="40"/>
      <c r="P88" s="40"/>
    </row>
    <row r="89" spans="1:16" ht="36.75" customHeight="1" x14ac:dyDescent="0.3">
      <c r="A89" s="56" t="s">
        <v>129</v>
      </c>
      <c r="B89" s="57" t="s">
        <v>130</v>
      </c>
      <c r="C89" s="57"/>
      <c r="D89" s="51">
        <f>D90+D93</f>
        <v>2712.1</v>
      </c>
      <c r="E89" s="51">
        <f t="shared" ref="E89:I89" si="33">E90+E93</f>
        <v>3359.9</v>
      </c>
      <c r="F89" s="51"/>
      <c r="G89" s="51">
        <f t="shared" si="33"/>
        <v>3066.6</v>
      </c>
      <c r="H89" s="51"/>
      <c r="I89" s="51">
        <f t="shared" si="33"/>
        <v>3280</v>
      </c>
      <c r="J89" s="33"/>
      <c r="K89" s="35"/>
      <c r="L89" s="40"/>
      <c r="M89" s="40"/>
      <c r="N89" s="40"/>
      <c r="O89" s="40"/>
      <c r="P89" s="40"/>
    </row>
    <row r="90" spans="1:16" ht="24.75" customHeight="1" x14ac:dyDescent="0.3">
      <c r="A90" s="53" t="s">
        <v>131</v>
      </c>
      <c r="B90" s="25" t="s">
        <v>132</v>
      </c>
      <c r="C90" s="85"/>
      <c r="D90" s="55">
        <f t="shared" ref="D90:I91" si="34">D91</f>
        <v>2600</v>
      </c>
      <c r="E90" s="55">
        <f t="shared" si="34"/>
        <v>3343.3</v>
      </c>
      <c r="F90" s="55"/>
      <c r="G90" s="55">
        <f t="shared" si="34"/>
        <v>3066.6</v>
      </c>
      <c r="H90" s="55"/>
      <c r="I90" s="55">
        <f t="shared" si="34"/>
        <v>3280</v>
      </c>
      <c r="J90" s="33"/>
      <c r="K90" s="35"/>
      <c r="L90" s="40"/>
      <c r="M90" s="40"/>
      <c r="N90" s="40"/>
      <c r="O90" s="40"/>
      <c r="P90" s="40"/>
    </row>
    <row r="91" spans="1:16" ht="18.75" customHeight="1" x14ac:dyDescent="0.3">
      <c r="A91" s="53" t="s">
        <v>133</v>
      </c>
      <c r="B91" s="25" t="s">
        <v>134</v>
      </c>
      <c r="C91" s="85"/>
      <c r="D91" s="55">
        <f t="shared" si="34"/>
        <v>2600</v>
      </c>
      <c r="E91" s="55">
        <f t="shared" si="34"/>
        <v>3343.3</v>
      </c>
      <c r="F91" s="55"/>
      <c r="G91" s="55">
        <f t="shared" si="34"/>
        <v>3066.6</v>
      </c>
      <c r="H91" s="55"/>
      <c r="I91" s="55">
        <f t="shared" si="34"/>
        <v>3280</v>
      </c>
      <c r="J91" s="33"/>
      <c r="K91" s="35"/>
      <c r="L91" s="40"/>
      <c r="M91" s="40"/>
      <c r="N91" s="40"/>
      <c r="O91" s="40"/>
      <c r="P91" s="40"/>
    </row>
    <row r="92" spans="1:16" ht="33.75" customHeight="1" x14ac:dyDescent="0.3">
      <c r="A92" s="53" t="s">
        <v>135</v>
      </c>
      <c r="B92" s="25" t="s">
        <v>136</v>
      </c>
      <c r="C92" s="85"/>
      <c r="D92" s="55">
        <f>2162.3+731.7-294</f>
        <v>2600</v>
      </c>
      <c r="E92" s="55">
        <v>3343.3</v>
      </c>
      <c r="F92" s="55"/>
      <c r="G92" s="58">
        <v>3066.6</v>
      </c>
      <c r="H92" s="58"/>
      <c r="I92" s="58">
        <v>3280</v>
      </c>
      <c r="J92" s="33"/>
      <c r="K92" s="41"/>
      <c r="L92" s="40"/>
      <c r="M92" s="40"/>
      <c r="N92" s="40"/>
      <c r="O92" s="40"/>
      <c r="P92" s="40"/>
    </row>
    <row r="93" spans="1:16" ht="19.5" customHeight="1" x14ac:dyDescent="0.3">
      <c r="A93" s="53" t="s">
        <v>137</v>
      </c>
      <c r="B93" s="25" t="s">
        <v>138</v>
      </c>
      <c r="C93" s="85"/>
      <c r="D93" s="55">
        <f>D94+D96</f>
        <v>112.10000000000001</v>
      </c>
      <c r="E93" s="55">
        <f t="shared" ref="E93:I93" si="35">E94+E96</f>
        <v>16.600000000000001</v>
      </c>
      <c r="F93" s="55"/>
      <c r="G93" s="55">
        <f t="shared" si="35"/>
        <v>0</v>
      </c>
      <c r="H93" s="55"/>
      <c r="I93" s="55">
        <f t="shared" si="35"/>
        <v>0</v>
      </c>
      <c r="J93" s="33"/>
      <c r="K93" s="35"/>
      <c r="L93" s="40"/>
      <c r="M93" s="40"/>
      <c r="N93" s="40"/>
      <c r="O93" s="40"/>
      <c r="P93" s="40"/>
    </row>
    <row r="94" spans="1:16" ht="33" hidden="1" customHeight="1" x14ac:dyDescent="0.3">
      <c r="A94" s="53" t="s">
        <v>139</v>
      </c>
      <c r="B94" s="25" t="s">
        <v>140</v>
      </c>
      <c r="C94" s="85"/>
      <c r="D94" s="55"/>
      <c r="E94" s="55">
        <f>E95</f>
        <v>0</v>
      </c>
      <c r="F94" s="55"/>
      <c r="G94" s="55"/>
      <c r="H94" s="55"/>
      <c r="I94" s="55"/>
      <c r="J94" s="33"/>
      <c r="K94" s="35"/>
      <c r="L94" s="40"/>
      <c r="M94" s="40"/>
      <c r="N94" s="40"/>
      <c r="O94" s="40"/>
      <c r="P94" s="40"/>
    </row>
    <row r="95" spans="1:16" ht="45.75" hidden="1" customHeight="1" x14ac:dyDescent="0.3">
      <c r="A95" s="53" t="s">
        <v>141</v>
      </c>
      <c r="B95" s="25" t="s">
        <v>142</v>
      </c>
      <c r="C95" s="85"/>
      <c r="D95" s="55"/>
      <c r="E95" s="55"/>
      <c r="F95" s="55"/>
      <c r="G95" s="55"/>
      <c r="H95" s="55"/>
      <c r="I95" s="55"/>
      <c r="J95" s="33"/>
      <c r="K95" s="35"/>
      <c r="L95" s="40"/>
      <c r="M95" s="40"/>
      <c r="N95" s="40"/>
      <c r="O95" s="40"/>
      <c r="P95" s="40"/>
    </row>
    <row r="96" spans="1:16" ht="20.25" customHeight="1" x14ac:dyDescent="0.3">
      <c r="A96" s="53" t="s">
        <v>143</v>
      </c>
      <c r="B96" s="25" t="s">
        <v>144</v>
      </c>
      <c r="C96" s="85"/>
      <c r="D96" s="55">
        <f>D97</f>
        <v>112.10000000000001</v>
      </c>
      <c r="E96" s="55">
        <f t="shared" ref="E96:I96" si="36">E97</f>
        <v>16.600000000000001</v>
      </c>
      <c r="F96" s="55"/>
      <c r="G96" s="55">
        <f t="shared" si="36"/>
        <v>0</v>
      </c>
      <c r="H96" s="55"/>
      <c r="I96" s="55">
        <f t="shared" si="36"/>
        <v>0</v>
      </c>
      <c r="J96" s="33"/>
      <c r="K96" s="35"/>
      <c r="L96" s="40"/>
      <c r="M96" s="40"/>
      <c r="N96" s="40"/>
      <c r="O96" s="40"/>
      <c r="P96" s="40"/>
    </row>
    <row r="97" spans="1:16" ht="32.25" customHeight="1" x14ac:dyDescent="0.3">
      <c r="A97" s="53" t="s">
        <v>145</v>
      </c>
      <c r="B97" s="25" t="s">
        <v>146</v>
      </c>
      <c r="C97" s="85"/>
      <c r="D97" s="54">
        <f>5.9+106.2</f>
        <v>112.10000000000001</v>
      </c>
      <c r="E97" s="54">
        <v>16.600000000000001</v>
      </c>
      <c r="F97" s="54"/>
      <c r="G97" s="54"/>
      <c r="H97" s="54"/>
      <c r="I97" s="54"/>
      <c r="J97" s="33"/>
      <c r="K97" s="35"/>
      <c r="L97" s="40"/>
      <c r="M97" s="40"/>
      <c r="N97" s="40"/>
      <c r="O97" s="40"/>
      <c r="P97" s="40"/>
    </row>
    <row r="98" spans="1:16" ht="34.5" customHeight="1" x14ac:dyDescent="0.3">
      <c r="A98" s="56" t="s">
        <v>147</v>
      </c>
      <c r="B98" s="57" t="s">
        <v>148</v>
      </c>
      <c r="C98" s="57"/>
      <c r="D98" s="51">
        <f>D99+D107</f>
        <v>600</v>
      </c>
      <c r="E98" s="51">
        <f t="shared" ref="E98:I98" si="37">E99+E107</f>
        <v>400</v>
      </c>
      <c r="F98" s="51"/>
      <c r="G98" s="51">
        <f t="shared" si="37"/>
        <v>400</v>
      </c>
      <c r="H98" s="51"/>
      <c r="I98" s="51">
        <f t="shared" si="37"/>
        <v>400</v>
      </c>
      <c r="J98" s="33"/>
      <c r="K98" s="35"/>
      <c r="L98" s="40"/>
      <c r="M98" s="40"/>
      <c r="N98" s="40"/>
      <c r="O98" s="40"/>
      <c r="P98" s="40"/>
    </row>
    <row r="99" spans="1:16" ht="79.5" customHeight="1" x14ac:dyDescent="0.3">
      <c r="A99" s="4" t="s">
        <v>149</v>
      </c>
      <c r="B99" s="25" t="s">
        <v>554</v>
      </c>
      <c r="C99" s="85"/>
      <c r="D99" s="51">
        <f>D102+D106</f>
        <v>400</v>
      </c>
      <c r="E99" s="51">
        <f t="shared" ref="E99:I99" si="38">E102+E106</f>
        <v>200</v>
      </c>
      <c r="F99" s="51"/>
      <c r="G99" s="51">
        <f t="shared" si="38"/>
        <v>200</v>
      </c>
      <c r="H99" s="51"/>
      <c r="I99" s="51">
        <f t="shared" si="38"/>
        <v>200</v>
      </c>
      <c r="J99" s="33"/>
      <c r="K99" s="35"/>
      <c r="L99" s="40"/>
      <c r="M99" s="40"/>
      <c r="N99" s="40"/>
      <c r="O99" s="40"/>
      <c r="P99" s="40"/>
    </row>
    <row r="100" spans="1:16" ht="93.75" hidden="1" customHeight="1" x14ac:dyDescent="0.3">
      <c r="A100" s="4" t="s">
        <v>150</v>
      </c>
      <c r="B100" s="25" t="s">
        <v>151</v>
      </c>
      <c r="C100" s="85"/>
      <c r="D100" s="55"/>
      <c r="E100" s="55"/>
      <c r="F100" s="55"/>
      <c r="G100" s="55"/>
      <c r="H100" s="55"/>
      <c r="I100" s="55"/>
      <c r="J100" s="33"/>
      <c r="K100" s="35"/>
      <c r="L100" s="40"/>
      <c r="M100" s="40"/>
      <c r="N100" s="40"/>
      <c r="O100" s="40"/>
      <c r="P100" s="40"/>
    </row>
    <row r="101" spans="1:16" ht="78.75" hidden="1" customHeight="1" x14ac:dyDescent="0.3">
      <c r="A101" s="4" t="s">
        <v>152</v>
      </c>
      <c r="B101" s="25" t="s">
        <v>153</v>
      </c>
      <c r="C101" s="85"/>
      <c r="D101" s="55"/>
      <c r="E101" s="55"/>
      <c r="F101" s="55"/>
      <c r="G101" s="55"/>
      <c r="H101" s="55"/>
      <c r="I101" s="55"/>
      <c r="J101" s="33"/>
      <c r="K101" s="35"/>
      <c r="L101" s="40"/>
      <c r="M101" s="40"/>
      <c r="N101" s="40"/>
      <c r="O101" s="40"/>
      <c r="P101" s="40"/>
    </row>
    <row r="102" spans="1:16" ht="92.25" customHeight="1" x14ac:dyDescent="0.3">
      <c r="A102" s="4" t="s">
        <v>154</v>
      </c>
      <c r="B102" s="25" t="s">
        <v>155</v>
      </c>
      <c r="C102" s="85"/>
      <c r="D102" s="7">
        <f>200+200</f>
        <v>400</v>
      </c>
      <c r="E102" s="7">
        <v>200</v>
      </c>
      <c r="F102" s="7"/>
      <c r="G102" s="7">
        <v>200</v>
      </c>
      <c r="H102" s="7"/>
      <c r="I102" s="7">
        <v>200</v>
      </c>
      <c r="J102" s="33"/>
      <c r="K102" s="35"/>
      <c r="L102" s="40"/>
      <c r="M102" s="40"/>
      <c r="N102" s="40"/>
      <c r="O102" s="40"/>
      <c r="P102" s="40"/>
    </row>
    <row r="103" spans="1:16" ht="53.25" hidden="1" customHeight="1" x14ac:dyDescent="0.3">
      <c r="A103" s="4" t="s">
        <v>156</v>
      </c>
      <c r="B103" s="25" t="s">
        <v>157</v>
      </c>
      <c r="C103" s="85"/>
      <c r="D103" s="55"/>
      <c r="E103" s="55"/>
      <c r="F103" s="55"/>
      <c r="G103" s="55"/>
      <c r="H103" s="55"/>
      <c r="I103" s="55"/>
      <c r="J103" s="33"/>
      <c r="K103" s="35"/>
      <c r="L103" s="40"/>
      <c r="M103" s="40"/>
      <c r="N103" s="40"/>
      <c r="O103" s="40"/>
      <c r="P103" s="40"/>
    </row>
    <row r="104" spans="1:16" ht="90.75" hidden="1" customHeight="1" x14ac:dyDescent="0.3">
      <c r="A104" s="4" t="s">
        <v>158</v>
      </c>
      <c r="B104" s="25" t="s">
        <v>159</v>
      </c>
      <c r="C104" s="85"/>
      <c r="D104" s="55"/>
      <c r="E104" s="55"/>
      <c r="F104" s="55"/>
      <c r="G104" s="55"/>
      <c r="H104" s="55"/>
      <c r="I104" s="55"/>
      <c r="J104" s="33"/>
      <c r="K104" s="35"/>
      <c r="L104" s="40"/>
      <c r="M104" s="40"/>
      <c r="N104" s="40"/>
      <c r="O104" s="40"/>
      <c r="P104" s="40"/>
    </row>
    <row r="105" spans="1:16" ht="81.75" hidden="1" customHeight="1" x14ac:dyDescent="0.3">
      <c r="A105" s="4" t="s">
        <v>160</v>
      </c>
      <c r="B105" s="25" t="s">
        <v>161</v>
      </c>
      <c r="C105" s="85"/>
      <c r="D105" s="55"/>
      <c r="E105" s="55"/>
      <c r="F105" s="55"/>
      <c r="G105" s="55"/>
      <c r="H105" s="55"/>
      <c r="I105" s="55"/>
      <c r="J105" s="33"/>
      <c r="K105" s="35"/>
      <c r="L105" s="40"/>
      <c r="M105" s="40"/>
      <c r="N105" s="40"/>
      <c r="O105" s="40"/>
      <c r="P105" s="40"/>
    </row>
    <row r="106" spans="1:16" ht="93.75" hidden="1" customHeight="1" x14ac:dyDescent="0.3">
      <c r="A106" s="4" t="s">
        <v>162</v>
      </c>
      <c r="B106" s="25" t="s">
        <v>163</v>
      </c>
      <c r="C106" s="85"/>
      <c r="D106" s="55"/>
      <c r="E106" s="55"/>
      <c r="F106" s="55"/>
      <c r="G106" s="55"/>
      <c r="H106" s="55"/>
      <c r="I106" s="55"/>
      <c r="J106" s="33"/>
      <c r="K106" s="35"/>
      <c r="L106" s="40"/>
      <c r="M106" s="40"/>
      <c r="N106" s="40"/>
      <c r="O106" s="40"/>
      <c r="P106" s="40"/>
    </row>
    <row r="107" spans="1:16" ht="39.75" customHeight="1" x14ac:dyDescent="0.3">
      <c r="A107" s="4" t="s">
        <v>164</v>
      </c>
      <c r="B107" s="25" t="s">
        <v>165</v>
      </c>
      <c r="C107" s="85"/>
      <c r="D107" s="51">
        <f>D108+D110</f>
        <v>200</v>
      </c>
      <c r="E107" s="51">
        <f>E108+E110</f>
        <v>200</v>
      </c>
      <c r="F107" s="51"/>
      <c r="G107" s="51">
        <f t="shared" ref="G107:I107" si="39">G108+G110</f>
        <v>200</v>
      </c>
      <c r="H107" s="51"/>
      <c r="I107" s="51">
        <f t="shared" si="39"/>
        <v>200</v>
      </c>
      <c r="J107" s="33"/>
      <c r="K107" s="35"/>
      <c r="L107" s="40"/>
      <c r="M107" s="40"/>
      <c r="N107" s="40"/>
      <c r="O107" s="40"/>
      <c r="P107" s="40"/>
    </row>
    <row r="108" spans="1:16" ht="42" customHeight="1" x14ac:dyDescent="0.3">
      <c r="A108" s="4" t="s">
        <v>166</v>
      </c>
      <c r="B108" s="25" t="s">
        <v>167</v>
      </c>
      <c r="C108" s="85"/>
      <c r="D108" s="55">
        <f>D109</f>
        <v>200</v>
      </c>
      <c r="E108" s="55">
        <f>E109</f>
        <v>200</v>
      </c>
      <c r="F108" s="55"/>
      <c r="G108" s="55">
        <f t="shared" ref="G108:I108" si="40">G109</f>
        <v>200</v>
      </c>
      <c r="H108" s="55"/>
      <c r="I108" s="55">
        <f t="shared" si="40"/>
        <v>200</v>
      </c>
      <c r="J108" s="33"/>
      <c r="K108" s="35"/>
      <c r="L108" s="40"/>
      <c r="M108" s="40"/>
      <c r="N108" s="40"/>
      <c r="O108" s="40"/>
      <c r="P108" s="40"/>
    </row>
    <row r="109" spans="1:16" ht="54" customHeight="1" x14ac:dyDescent="0.3">
      <c r="A109" s="4" t="s">
        <v>168</v>
      </c>
      <c r="B109" s="25" t="s">
        <v>169</v>
      </c>
      <c r="C109" s="85"/>
      <c r="D109" s="55">
        <v>200</v>
      </c>
      <c r="E109" s="55">
        <v>200</v>
      </c>
      <c r="F109" s="55"/>
      <c r="G109" s="55">
        <v>200</v>
      </c>
      <c r="H109" s="55"/>
      <c r="I109" s="55">
        <v>200</v>
      </c>
      <c r="J109" s="33"/>
      <c r="K109" s="35"/>
      <c r="L109" s="40"/>
      <c r="M109" s="40"/>
      <c r="N109" s="40"/>
      <c r="O109" s="40"/>
      <c r="P109" s="40"/>
    </row>
    <row r="110" spans="1:16" ht="50.25" hidden="1" customHeight="1" x14ac:dyDescent="0.3">
      <c r="A110" s="4" t="s">
        <v>170</v>
      </c>
      <c r="B110" s="25" t="s">
        <v>171</v>
      </c>
      <c r="C110" s="85"/>
      <c r="D110" s="55"/>
      <c r="E110" s="55"/>
      <c r="F110" s="55"/>
      <c r="G110" s="55"/>
      <c r="H110" s="55"/>
      <c r="I110" s="55"/>
      <c r="J110" s="33"/>
      <c r="K110" s="35"/>
      <c r="L110" s="40"/>
      <c r="M110" s="40"/>
      <c r="N110" s="40"/>
      <c r="O110" s="40"/>
      <c r="P110" s="40"/>
    </row>
    <row r="111" spans="1:16" ht="21" hidden="1" customHeight="1" x14ac:dyDescent="0.3">
      <c r="A111" s="4" t="s">
        <v>172</v>
      </c>
      <c r="B111" s="25" t="s">
        <v>173</v>
      </c>
      <c r="C111" s="85"/>
      <c r="D111" s="55"/>
      <c r="E111" s="55"/>
      <c r="F111" s="55"/>
      <c r="G111" s="55"/>
      <c r="H111" s="55"/>
      <c r="I111" s="55"/>
      <c r="J111" s="33"/>
      <c r="K111" s="35"/>
      <c r="L111" s="40"/>
      <c r="M111" s="40"/>
      <c r="N111" s="40"/>
      <c r="O111" s="40"/>
      <c r="P111" s="40"/>
    </row>
    <row r="112" spans="1:16" ht="21.75" customHeight="1" x14ac:dyDescent="0.3">
      <c r="A112" s="56" t="s">
        <v>174</v>
      </c>
      <c r="B112" s="57" t="s">
        <v>175</v>
      </c>
      <c r="C112" s="57"/>
      <c r="D112" s="51">
        <f>D113+D163+D165+D174+D175+D188</f>
        <v>463.9</v>
      </c>
      <c r="E112" s="51">
        <f t="shared" ref="E112:I112" si="41">E113+E163+E165+E174+E175+E188</f>
        <v>1316.8</v>
      </c>
      <c r="F112" s="51"/>
      <c r="G112" s="51">
        <f t="shared" si="41"/>
        <v>197.39999999999998</v>
      </c>
      <c r="H112" s="51"/>
      <c r="I112" s="51">
        <f t="shared" si="41"/>
        <v>197.39999999999998</v>
      </c>
      <c r="J112" s="33"/>
      <c r="K112" s="35"/>
      <c r="L112" s="40"/>
      <c r="M112" s="40"/>
      <c r="N112" s="40"/>
      <c r="O112" s="40"/>
      <c r="P112" s="40"/>
    </row>
    <row r="113" spans="1:16" ht="40.5" customHeight="1" x14ac:dyDescent="0.3">
      <c r="A113" s="53" t="s">
        <v>176</v>
      </c>
      <c r="B113" s="25" t="s">
        <v>177</v>
      </c>
      <c r="C113" s="85"/>
      <c r="D113" s="55">
        <f>D114+D117+D120+D123+D126+D129+D132+D135+D137+D140+D143+D147+D149+D152+D155+D158+D161</f>
        <v>156.19999999999999</v>
      </c>
      <c r="E113" s="55">
        <f t="shared" ref="E113:I113" si="42">E114+E117+E120+E123+E126+E129+E132+E135+E137+E140+E143+E147+E149+E152+E155+E158+E161</f>
        <v>172.59999999999997</v>
      </c>
      <c r="F113" s="55"/>
      <c r="G113" s="55">
        <f t="shared" si="42"/>
        <v>159.1</v>
      </c>
      <c r="H113" s="55"/>
      <c r="I113" s="55">
        <f t="shared" si="42"/>
        <v>159.1</v>
      </c>
      <c r="J113" s="33"/>
      <c r="K113" s="35"/>
      <c r="L113" s="40"/>
      <c r="M113" s="40"/>
      <c r="N113" s="40"/>
      <c r="O113" s="40"/>
      <c r="P113" s="40"/>
    </row>
    <row r="114" spans="1:16" ht="66.75" customHeight="1" x14ac:dyDescent="0.3">
      <c r="A114" s="53" t="s">
        <v>178</v>
      </c>
      <c r="B114" s="25" t="s">
        <v>555</v>
      </c>
      <c r="C114" s="85"/>
      <c r="D114" s="55">
        <f>D115+D116</f>
        <v>8.5</v>
      </c>
      <c r="E114" s="55">
        <f t="shared" ref="E114:I114" si="43">E115+E116</f>
        <v>4</v>
      </c>
      <c r="F114" s="55"/>
      <c r="G114" s="55">
        <f t="shared" si="43"/>
        <v>4</v>
      </c>
      <c r="H114" s="55"/>
      <c r="I114" s="55">
        <f t="shared" si="43"/>
        <v>4</v>
      </c>
      <c r="J114" s="33"/>
      <c r="K114" s="35"/>
      <c r="L114" s="40"/>
      <c r="M114" s="40"/>
      <c r="N114" s="40"/>
      <c r="O114" s="40"/>
      <c r="P114" s="40"/>
    </row>
    <row r="115" spans="1:16" ht="84.75" customHeight="1" x14ac:dyDescent="0.3">
      <c r="A115" s="53" t="s">
        <v>179</v>
      </c>
      <c r="B115" s="25" t="s">
        <v>556</v>
      </c>
      <c r="C115" s="85"/>
      <c r="D115" s="55">
        <f>4+4.5</f>
        <v>8.5</v>
      </c>
      <c r="E115" s="55">
        <v>4</v>
      </c>
      <c r="F115" s="55"/>
      <c r="G115" s="55">
        <v>4</v>
      </c>
      <c r="H115" s="55"/>
      <c r="I115" s="55">
        <v>4</v>
      </c>
      <c r="J115" s="33"/>
      <c r="K115" s="35"/>
      <c r="L115" s="40"/>
      <c r="M115" s="40"/>
      <c r="N115" s="40"/>
      <c r="O115" s="40"/>
      <c r="P115" s="40"/>
    </row>
    <row r="116" spans="1:16" ht="75" hidden="1" customHeight="1" x14ac:dyDescent="0.3">
      <c r="A116" s="53" t="s">
        <v>180</v>
      </c>
      <c r="B116" s="25" t="s">
        <v>181</v>
      </c>
      <c r="C116" s="85"/>
      <c r="D116" s="55"/>
      <c r="E116" s="55"/>
      <c r="F116" s="55"/>
      <c r="G116" s="55"/>
      <c r="H116" s="55"/>
      <c r="I116" s="55"/>
      <c r="J116" s="33"/>
      <c r="K116" s="35"/>
      <c r="L116" s="40"/>
      <c r="M116" s="40"/>
      <c r="N116" s="40"/>
      <c r="O116" s="40"/>
      <c r="P116" s="40"/>
    </row>
    <row r="117" spans="1:16" ht="84.75" customHeight="1" x14ac:dyDescent="0.3">
      <c r="A117" s="53" t="s">
        <v>182</v>
      </c>
      <c r="B117" s="25" t="s">
        <v>557</v>
      </c>
      <c r="C117" s="85"/>
      <c r="D117" s="55">
        <f>D118+D119</f>
        <v>34</v>
      </c>
      <c r="E117" s="55">
        <f t="shared" ref="E117:I117" si="44">E118+E119</f>
        <v>2.6</v>
      </c>
      <c r="F117" s="55"/>
      <c r="G117" s="55">
        <f t="shared" si="44"/>
        <v>2</v>
      </c>
      <c r="H117" s="55"/>
      <c r="I117" s="55">
        <f t="shared" si="44"/>
        <v>2</v>
      </c>
      <c r="J117" s="33"/>
      <c r="K117" s="35"/>
      <c r="L117" s="40"/>
      <c r="M117" s="40"/>
      <c r="N117" s="40"/>
      <c r="O117" s="40"/>
      <c r="P117" s="40"/>
    </row>
    <row r="118" spans="1:16" ht="102" customHeight="1" x14ac:dyDescent="0.3">
      <c r="A118" s="53" t="s">
        <v>183</v>
      </c>
      <c r="B118" s="25" t="s">
        <v>558</v>
      </c>
      <c r="C118" s="85"/>
      <c r="D118" s="55">
        <f>10.5+9.5+5+7+2</f>
        <v>34</v>
      </c>
      <c r="E118" s="55">
        <f>2+0.6</f>
        <v>2.6</v>
      </c>
      <c r="F118" s="55"/>
      <c r="G118" s="55">
        <v>2</v>
      </c>
      <c r="H118" s="55"/>
      <c r="I118" s="55">
        <v>2</v>
      </c>
      <c r="J118" s="33"/>
      <c r="K118" s="35"/>
      <c r="L118" s="40"/>
      <c r="M118" s="40"/>
      <c r="N118" s="40"/>
      <c r="O118" s="40"/>
      <c r="P118" s="40"/>
    </row>
    <row r="119" spans="1:16" ht="87" hidden="1" customHeight="1" x14ac:dyDescent="0.3">
      <c r="A119" s="53" t="s">
        <v>184</v>
      </c>
      <c r="B119" s="25" t="s">
        <v>185</v>
      </c>
      <c r="C119" s="85"/>
      <c r="D119" s="55"/>
      <c r="E119" s="55"/>
      <c r="F119" s="55"/>
      <c r="G119" s="55"/>
      <c r="H119" s="55"/>
      <c r="I119" s="55"/>
      <c r="J119" s="33"/>
      <c r="K119" s="35"/>
      <c r="L119" s="40"/>
      <c r="M119" s="40"/>
      <c r="N119" s="40"/>
      <c r="O119" s="40"/>
      <c r="P119" s="40"/>
    </row>
    <row r="120" spans="1:16" ht="59.25" hidden="1" customHeight="1" x14ac:dyDescent="0.3">
      <c r="A120" s="53" t="s">
        <v>186</v>
      </c>
      <c r="B120" s="25" t="s">
        <v>187</v>
      </c>
      <c r="C120" s="85"/>
      <c r="D120" s="55"/>
      <c r="E120" s="55"/>
      <c r="F120" s="55"/>
      <c r="G120" s="55"/>
      <c r="H120" s="55"/>
      <c r="I120" s="55"/>
      <c r="J120" s="33"/>
      <c r="K120" s="35"/>
      <c r="L120" s="40"/>
      <c r="M120" s="40"/>
      <c r="N120" s="40"/>
      <c r="O120" s="40"/>
      <c r="P120" s="40"/>
    </row>
    <row r="121" spans="1:16" ht="73.5" hidden="1" customHeight="1" x14ac:dyDescent="0.3">
      <c r="A121" s="53" t="s">
        <v>188</v>
      </c>
      <c r="B121" s="25" t="s">
        <v>189</v>
      </c>
      <c r="C121" s="85"/>
      <c r="D121" s="55"/>
      <c r="E121" s="55"/>
      <c r="F121" s="55"/>
      <c r="G121" s="55"/>
      <c r="H121" s="55"/>
      <c r="I121" s="55"/>
      <c r="J121" s="33"/>
      <c r="K121" s="35"/>
      <c r="L121" s="40"/>
      <c r="M121" s="40"/>
      <c r="N121" s="40"/>
      <c r="O121" s="40"/>
      <c r="P121" s="40"/>
    </row>
    <row r="122" spans="1:16" ht="70.5" hidden="1" customHeight="1" x14ac:dyDescent="0.3">
      <c r="A122" s="53" t="s">
        <v>190</v>
      </c>
      <c r="B122" s="25" t="s">
        <v>191</v>
      </c>
      <c r="C122" s="85"/>
      <c r="D122" s="55"/>
      <c r="E122" s="55"/>
      <c r="F122" s="55"/>
      <c r="G122" s="55"/>
      <c r="H122" s="55"/>
      <c r="I122" s="55"/>
      <c r="J122" s="33"/>
      <c r="K122" s="35"/>
      <c r="L122" s="40"/>
      <c r="M122" s="40"/>
      <c r="N122" s="40"/>
      <c r="O122" s="40"/>
      <c r="P122" s="40"/>
    </row>
    <row r="123" spans="1:16" ht="69" hidden="1" customHeight="1" x14ac:dyDescent="0.3">
      <c r="A123" s="53" t="s">
        <v>192</v>
      </c>
      <c r="B123" s="25" t="s">
        <v>559</v>
      </c>
      <c r="C123" s="85"/>
      <c r="D123" s="55">
        <f>D124+D125</f>
        <v>2.5</v>
      </c>
      <c r="E123" s="55">
        <f t="shared" ref="E123:I123" si="45">E124+E125</f>
        <v>0</v>
      </c>
      <c r="F123" s="55"/>
      <c r="G123" s="55">
        <f t="shared" si="45"/>
        <v>0</v>
      </c>
      <c r="H123" s="55"/>
      <c r="I123" s="55">
        <f t="shared" si="45"/>
        <v>0</v>
      </c>
      <c r="J123" s="33"/>
      <c r="K123" s="35"/>
      <c r="L123" s="40"/>
      <c r="M123" s="40"/>
      <c r="N123" s="40"/>
      <c r="O123" s="40"/>
      <c r="P123" s="40"/>
    </row>
    <row r="124" spans="1:16" ht="96.75" hidden="1" customHeight="1" x14ac:dyDescent="0.3">
      <c r="A124" s="53" t="s">
        <v>193</v>
      </c>
      <c r="B124" s="25" t="s">
        <v>560</v>
      </c>
      <c r="C124" s="85"/>
      <c r="D124" s="55">
        <f>6-6+2.5</f>
        <v>2.5</v>
      </c>
      <c r="E124" s="55"/>
      <c r="F124" s="55"/>
      <c r="G124" s="55"/>
      <c r="H124" s="55"/>
      <c r="I124" s="55"/>
      <c r="J124" s="33"/>
      <c r="K124" s="35"/>
      <c r="L124" s="40"/>
      <c r="M124" s="40"/>
      <c r="N124" s="40"/>
      <c r="O124" s="40"/>
      <c r="P124" s="40"/>
    </row>
    <row r="125" spans="1:16" ht="75.75" hidden="1" customHeight="1" x14ac:dyDescent="0.3">
      <c r="A125" s="53" t="s">
        <v>194</v>
      </c>
      <c r="B125" s="25" t="s">
        <v>195</v>
      </c>
      <c r="C125" s="85"/>
      <c r="D125" s="55"/>
      <c r="E125" s="55"/>
      <c r="F125" s="55"/>
      <c r="G125" s="55"/>
      <c r="H125" s="55"/>
      <c r="I125" s="55"/>
      <c r="J125" s="33"/>
      <c r="K125" s="35"/>
      <c r="L125" s="40"/>
      <c r="M125" s="40"/>
      <c r="N125" s="40"/>
      <c r="O125" s="40"/>
      <c r="P125" s="40"/>
    </row>
    <row r="126" spans="1:16" ht="70.5" hidden="1" customHeight="1" x14ac:dyDescent="0.3">
      <c r="A126" s="53" t="s">
        <v>196</v>
      </c>
      <c r="B126" s="25" t="s">
        <v>197</v>
      </c>
      <c r="C126" s="85"/>
      <c r="D126" s="55"/>
      <c r="E126" s="55"/>
      <c r="F126" s="55"/>
      <c r="G126" s="55"/>
      <c r="H126" s="55"/>
      <c r="I126" s="55"/>
      <c r="J126" s="33"/>
      <c r="K126" s="35"/>
      <c r="L126" s="40"/>
      <c r="M126" s="40"/>
      <c r="N126" s="40"/>
      <c r="O126" s="40"/>
      <c r="P126" s="40"/>
    </row>
    <row r="127" spans="1:16" ht="77.25" hidden="1" customHeight="1" x14ac:dyDescent="0.3">
      <c r="A127" s="53" t="s">
        <v>198</v>
      </c>
      <c r="B127" s="25" t="s">
        <v>199</v>
      </c>
      <c r="C127" s="85"/>
      <c r="D127" s="55"/>
      <c r="E127" s="55"/>
      <c r="F127" s="55"/>
      <c r="G127" s="55"/>
      <c r="H127" s="55"/>
      <c r="I127" s="55"/>
      <c r="J127" s="33"/>
      <c r="K127" s="35"/>
      <c r="L127" s="40"/>
      <c r="M127" s="40"/>
      <c r="N127" s="40"/>
      <c r="O127" s="40"/>
      <c r="P127" s="40"/>
    </row>
    <row r="128" spans="1:16" ht="87.75" hidden="1" customHeight="1" x14ac:dyDescent="0.3">
      <c r="A128" s="53" t="s">
        <v>200</v>
      </c>
      <c r="B128" s="25" t="s">
        <v>201</v>
      </c>
      <c r="C128" s="85"/>
      <c r="D128" s="55"/>
      <c r="E128" s="55"/>
      <c r="F128" s="55"/>
      <c r="G128" s="55"/>
      <c r="H128" s="55"/>
      <c r="I128" s="55"/>
      <c r="J128" s="33"/>
      <c r="K128" s="35"/>
      <c r="L128" s="40"/>
      <c r="M128" s="40"/>
      <c r="N128" s="40"/>
      <c r="O128" s="40"/>
      <c r="P128" s="40"/>
    </row>
    <row r="129" spans="1:16" ht="67.5" hidden="1" customHeight="1" x14ac:dyDescent="0.3">
      <c r="A129" s="53" t="s">
        <v>202</v>
      </c>
      <c r="B129" s="25" t="s">
        <v>203</v>
      </c>
      <c r="C129" s="85"/>
      <c r="D129" s="55"/>
      <c r="E129" s="55"/>
      <c r="F129" s="55"/>
      <c r="G129" s="55"/>
      <c r="H129" s="55"/>
      <c r="I129" s="55"/>
      <c r="J129" s="33"/>
      <c r="K129" s="35"/>
      <c r="L129" s="40"/>
      <c r="M129" s="40"/>
      <c r="N129" s="40"/>
      <c r="O129" s="40"/>
      <c r="P129" s="40"/>
    </row>
    <row r="130" spans="1:16" ht="87.75" hidden="1" customHeight="1" x14ac:dyDescent="0.3">
      <c r="A130" s="53" t="s">
        <v>204</v>
      </c>
      <c r="B130" s="25" t="s">
        <v>205</v>
      </c>
      <c r="C130" s="85"/>
      <c r="D130" s="55"/>
      <c r="E130" s="55"/>
      <c r="F130" s="55"/>
      <c r="G130" s="55"/>
      <c r="H130" s="55"/>
      <c r="I130" s="55"/>
      <c r="J130" s="33"/>
      <c r="K130" s="35"/>
      <c r="L130" s="40"/>
      <c r="M130" s="40"/>
      <c r="N130" s="40"/>
      <c r="O130" s="40"/>
      <c r="P130" s="40"/>
    </row>
    <row r="131" spans="1:16" ht="76.5" hidden="1" customHeight="1" x14ac:dyDescent="0.3">
      <c r="A131" s="53" t="s">
        <v>206</v>
      </c>
      <c r="B131" s="25" t="s">
        <v>207</v>
      </c>
      <c r="C131" s="85"/>
      <c r="D131" s="55"/>
      <c r="E131" s="55"/>
      <c r="F131" s="55"/>
      <c r="G131" s="55"/>
      <c r="H131" s="55"/>
      <c r="I131" s="55"/>
      <c r="J131" s="33"/>
      <c r="K131" s="35"/>
      <c r="L131" s="40"/>
      <c r="M131" s="40"/>
      <c r="N131" s="40"/>
      <c r="O131" s="40"/>
      <c r="P131" s="40"/>
    </row>
    <row r="132" spans="1:16" ht="54.75" hidden="1" customHeight="1" x14ac:dyDescent="0.3">
      <c r="A132" s="53" t="s">
        <v>208</v>
      </c>
      <c r="B132" s="25" t="s">
        <v>209</v>
      </c>
      <c r="C132" s="85"/>
      <c r="D132" s="55"/>
      <c r="E132" s="55"/>
      <c r="F132" s="55"/>
      <c r="G132" s="55"/>
      <c r="H132" s="55"/>
      <c r="I132" s="55"/>
      <c r="J132" s="33"/>
      <c r="K132" s="35"/>
      <c r="L132" s="40"/>
      <c r="M132" s="40"/>
      <c r="N132" s="40"/>
      <c r="O132" s="40"/>
      <c r="P132" s="40"/>
    </row>
    <row r="133" spans="1:16" ht="75.75" hidden="1" customHeight="1" x14ac:dyDescent="0.3">
      <c r="A133" s="53" t="s">
        <v>210</v>
      </c>
      <c r="B133" s="25" t="s">
        <v>211</v>
      </c>
      <c r="C133" s="85"/>
      <c r="D133" s="55"/>
      <c r="E133" s="55"/>
      <c r="F133" s="55"/>
      <c r="G133" s="55"/>
      <c r="H133" s="55"/>
      <c r="I133" s="55"/>
      <c r="J133" s="33"/>
      <c r="K133" s="35"/>
      <c r="L133" s="40"/>
      <c r="M133" s="40"/>
      <c r="N133" s="40"/>
      <c r="O133" s="40"/>
      <c r="P133" s="40"/>
    </row>
    <row r="134" spans="1:16" ht="72.75" hidden="1" customHeight="1" x14ac:dyDescent="0.3">
      <c r="A134" s="53" t="s">
        <v>212</v>
      </c>
      <c r="B134" s="25" t="s">
        <v>213</v>
      </c>
      <c r="C134" s="85"/>
      <c r="D134" s="55"/>
      <c r="E134" s="55"/>
      <c r="F134" s="55"/>
      <c r="G134" s="55"/>
      <c r="H134" s="55"/>
      <c r="I134" s="55"/>
      <c r="J134" s="33"/>
      <c r="K134" s="35"/>
      <c r="L134" s="40"/>
      <c r="M134" s="40"/>
      <c r="N134" s="40"/>
      <c r="O134" s="40"/>
      <c r="P134" s="40"/>
    </row>
    <row r="135" spans="1:16" ht="63" hidden="1" customHeight="1" x14ac:dyDescent="0.3">
      <c r="A135" s="53" t="s">
        <v>214</v>
      </c>
      <c r="B135" s="25" t="s">
        <v>561</v>
      </c>
      <c r="C135" s="85"/>
      <c r="D135" s="55">
        <f>D136</f>
        <v>0</v>
      </c>
      <c r="E135" s="55"/>
      <c r="F135" s="55"/>
      <c r="G135" s="55"/>
      <c r="H135" s="55"/>
      <c r="I135" s="55"/>
      <c r="J135" s="33"/>
      <c r="K135" s="35"/>
      <c r="L135" s="40"/>
      <c r="M135" s="40"/>
      <c r="N135" s="40"/>
      <c r="O135" s="40"/>
      <c r="P135" s="40"/>
    </row>
    <row r="136" spans="1:16" ht="85.5" hidden="1" customHeight="1" x14ac:dyDescent="0.3">
      <c r="A136" s="53" t="s">
        <v>215</v>
      </c>
      <c r="B136" s="25" t="s">
        <v>562</v>
      </c>
      <c r="C136" s="85"/>
      <c r="D136" s="55">
        <f>10-10</f>
        <v>0</v>
      </c>
      <c r="E136" s="55"/>
      <c r="F136" s="55"/>
      <c r="G136" s="55"/>
      <c r="H136" s="55"/>
      <c r="I136" s="55"/>
      <c r="J136" s="33"/>
      <c r="K136" s="38"/>
      <c r="L136" s="40"/>
      <c r="M136" s="40"/>
      <c r="N136" s="40"/>
      <c r="O136" s="40"/>
      <c r="P136" s="40"/>
    </row>
    <row r="137" spans="1:16" ht="70.5" hidden="1" customHeight="1" x14ac:dyDescent="0.3">
      <c r="A137" s="53" t="s">
        <v>216</v>
      </c>
      <c r="B137" s="25" t="s">
        <v>563</v>
      </c>
      <c r="C137" s="85"/>
      <c r="D137" s="55">
        <f>D138</f>
        <v>20</v>
      </c>
      <c r="E137" s="55">
        <f t="shared" ref="E137:G137" si="46">E138</f>
        <v>0</v>
      </c>
      <c r="F137" s="55"/>
      <c r="G137" s="55">
        <f t="shared" si="46"/>
        <v>0</v>
      </c>
      <c r="H137" s="55"/>
      <c r="I137" s="55">
        <f t="shared" ref="I137" si="47">I138</f>
        <v>0</v>
      </c>
      <c r="J137" s="33"/>
      <c r="K137" s="35"/>
      <c r="L137" s="40"/>
      <c r="M137" s="40"/>
      <c r="N137" s="40"/>
      <c r="O137" s="40"/>
      <c r="P137" s="40"/>
    </row>
    <row r="138" spans="1:16" ht="85.5" hidden="1" customHeight="1" x14ac:dyDescent="0.3">
      <c r="A138" s="53" t="s">
        <v>217</v>
      </c>
      <c r="B138" s="25" t="s">
        <v>564</v>
      </c>
      <c r="C138" s="85"/>
      <c r="D138" s="55">
        <f>15+5</f>
        <v>20</v>
      </c>
      <c r="E138" s="55"/>
      <c r="F138" s="55"/>
      <c r="G138" s="55"/>
      <c r="H138" s="55"/>
      <c r="I138" s="55"/>
      <c r="J138" s="33"/>
      <c r="K138" s="35"/>
      <c r="L138" s="40"/>
      <c r="M138" s="40"/>
      <c r="N138" s="40"/>
      <c r="O138" s="40"/>
      <c r="P138" s="40"/>
    </row>
    <row r="139" spans="1:16" ht="72.75" hidden="1" customHeight="1" x14ac:dyDescent="0.3">
      <c r="A139" s="53" t="s">
        <v>218</v>
      </c>
      <c r="B139" s="25" t="s">
        <v>219</v>
      </c>
      <c r="C139" s="85"/>
      <c r="D139" s="55"/>
      <c r="E139" s="55"/>
      <c r="F139" s="55"/>
      <c r="G139" s="55"/>
      <c r="H139" s="55"/>
      <c r="I139" s="55"/>
      <c r="J139" s="33"/>
      <c r="K139" s="35"/>
      <c r="L139" s="40"/>
      <c r="M139" s="40"/>
      <c r="N139" s="40"/>
      <c r="O139" s="40"/>
      <c r="P139" s="40"/>
    </row>
    <row r="140" spans="1:16" ht="72.75" customHeight="1" x14ac:dyDescent="0.3">
      <c r="A140" s="53" t="s">
        <v>220</v>
      </c>
      <c r="B140" s="25" t="s">
        <v>221</v>
      </c>
      <c r="C140" s="85"/>
      <c r="D140" s="55"/>
      <c r="E140" s="55">
        <f>E141</f>
        <v>10</v>
      </c>
      <c r="F140" s="55"/>
      <c r="G140" s="55"/>
      <c r="H140" s="55"/>
      <c r="I140" s="55"/>
      <c r="J140" s="33"/>
      <c r="K140" s="35"/>
      <c r="L140" s="40"/>
      <c r="M140" s="40"/>
      <c r="N140" s="40"/>
      <c r="O140" s="40"/>
      <c r="P140" s="40"/>
    </row>
    <row r="141" spans="1:16" ht="90.75" customHeight="1" x14ac:dyDescent="0.3">
      <c r="A141" s="53" t="s">
        <v>222</v>
      </c>
      <c r="B141" s="85" t="s">
        <v>223</v>
      </c>
      <c r="C141" s="85"/>
      <c r="D141" s="55"/>
      <c r="E141" s="55">
        <v>10</v>
      </c>
      <c r="F141" s="55"/>
      <c r="G141" s="55"/>
      <c r="H141" s="55"/>
      <c r="I141" s="55"/>
      <c r="J141" s="33"/>
      <c r="K141" s="35"/>
      <c r="L141" s="40"/>
      <c r="M141" s="40"/>
      <c r="N141" s="40"/>
      <c r="O141" s="40"/>
      <c r="P141" s="40"/>
    </row>
    <row r="142" spans="1:16" ht="76.5" hidden="1" customHeight="1" x14ac:dyDescent="0.3">
      <c r="A142" s="53" t="s">
        <v>224</v>
      </c>
      <c r="B142" s="25" t="s">
        <v>225</v>
      </c>
      <c r="C142" s="85"/>
      <c r="D142" s="55"/>
      <c r="E142" s="55"/>
      <c r="F142" s="55"/>
      <c r="G142" s="55"/>
      <c r="H142" s="55"/>
      <c r="I142" s="55"/>
      <c r="J142" s="33"/>
      <c r="K142" s="35"/>
      <c r="L142" s="40"/>
      <c r="M142" s="40"/>
      <c r="N142" s="40"/>
      <c r="O142" s="40"/>
      <c r="P142" s="40"/>
    </row>
    <row r="143" spans="1:16" ht="69" customHeight="1" x14ac:dyDescent="0.3">
      <c r="A143" s="53" t="s">
        <v>226</v>
      </c>
      <c r="B143" s="25" t="s">
        <v>565</v>
      </c>
      <c r="C143" s="85"/>
      <c r="D143" s="55">
        <f>D144+D145+D146</f>
        <v>1.2</v>
      </c>
      <c r="E143" s="55">
        <f t="shared" ref="E143:I143" si="48">E144+E145+E146</f>
        <v>5.1000000000000005</v>
      </c>
      <c r="F143" s="55"/>
      <c r="G143" s="55">
        <f t="shared" si="48"/>
        <v>4.9000000000000004</v>
      </c>
      <c r="H143" s="55"/>
      <c r="I143" s="55">
        <f t="shared" si="48"/>
        <v>4.9000000000000004</v>
      </c>
      <c r="J143" s="33"/>
      <c r="K143" s="35"/>
      <c r="L143" s="40"/>
      <c r="M143" s="40"/>
      <c r="N143" s="40"/>
      <c r="O143" s="40"/>
      <c r="P143" s="40"/>
    </row>
    <row r="144" spans="1:16" ht="124.5" customHeight="1" x14ac:dyDescent="0.3">
      <c r="A144" s="53" t="s">
        <v>227</v>
      </c>
      <c r="B144" s="25" t="s">
        <v>566</v>
      </c>
      <c r="C144" s="85"/>
      <c r="D144" s="55">
        <f>0.3+0.7+0.2</f>
        <v>1.2</v>
      </c>
      <c r="E144" s="55">
        <v>0.2</v>
      </c>
      <c r="F144" s="55"/>
      <c r="G144" s="55"/>
      <c r="H144" s="55"/>
      <c r="I144" s="55"/>
      <c r="J144" s="33"/>
      <c r="K144" s="35"/>
      <c r="L144" s="40"/>
      <c r="M144" s="40"/>
      <c r="N144" s="40"/>
      <c r="O144" s="40"/>
      <c r="P144" s="40"/>
    </row>
    <row r="145" spans="1:16" ht="105" hidden="1" customHeight="1" x14ac:dyDescent="0.3">
      <c r="A145" s="53" t="s">
        <v>228</v>
      </c>
      <c r="B145" s="25" t="s">
        <v>229</v>
      </c>
      <c r="C145" s="85"/>
      <c r="D145" s="55"/>
      <c r="E145" s="55"/>
      <c r="F145" s="55"/>
      <c r="G145" s="55"/>
      <c r="H145" s="55"/>
      <c r="I145" s="55"/>
      <c r="J145" s="33"/>
      <c r="K145" s="35"/>
      <c r="L145" s="40"/>
      <c r="M145" s="40"/>
      <c r="N145" s="40"/>
      <c r="O145" s="40"/>
      <c r="P145" s="40"/>
    </row>
    <row r="146" spans="1:16" ht="204.75" customHeight="1" x14ac:dyDescent="0.3">
      <c r="A146" s="53" t="s">
        <v>230</v>
      </c>
      <c r="B146" s="25" t="s">
        <v>567</v>
      </c>
      <c r="C146" s="85"/>
      <c r="D146" s="55">
        <f>4.9-4.9</f>
        <v>0</v>
      </c>
      <c r="E146" s="55">
        <v>4.9000000000000004</v>
      </c>
      <c r="F146" s="55"/>
      <c r="G146" s="55">
        <v>4.9000000000000004</v>
      </c>
      <c r="H146" s="55"/>
      <c r="I146" s="55">
        <v>4.9000000000000004</v>
      </c>
      <c r="J146" s="33"/>
      <c r="K146" s="38"/>
      <c r="L146" s="40"/>
      <c r="M146" s="40"/>
      <c r="N146" s="40"/>
      <c r="O146" s="40"/>
      <c r="P146" s="40"/>
    </row>
    <row r="147" spans="1:16" ht="61.5" hidden="1" customHeight="1" x14ac:dyDescent="0.3">
      <c r="A147" s="53" t="s">
        <v>231</v>
      </c>
      <c r="B147" s="25" t="s">
        <v>232</v>
      </c>
      <c r="C147" s="85"/>
      <c r="D147" s="55"/>
      <c r="E147" s="55"/>
      <c r="F147" s="55"/>
      <c r="G147" s="55"/>
      <c r="H147" s="55"/>
      <c r="I147" s="55"/>
      <c r="J147" s="33"/>
      <c r="K147" s="35"/>
      <c r="L147" s="40"/>
      <c r="M147" s="40"/>
      <c r="N147" s="40"/>
      <c r="O147" s="40"/>
      <c r="P147" s="40"/>
    </row>
    <row r="148" spans="1:16" ht="0.75" hidden="1" customHeight="1" x14ac:dyDescent="0.3">
      <c r="A148" s="53" t="s">
        <v>233</v>
      </c>
      <c r="B148" s="25" t="s">
        <v>234</v>
      </c>
      <c r="C148" s="85"/>
      <c r="D148" s="55"/>
      <c r="E148" s="55"/>
      <c r="F148" s="55"/>
      <c r="G148" s="55"/>
      <c r="H148" s="55"/>
      <c r="I148" s="55"/>
      <c r="J148" s="33"/>
      <c r="K148" s="35"/>
      <c r="L148" s="40"/>
      <c r="M148" s="40"/>
      <c r="N148" s="40"/>
      <c r="O148" s="40"/>
      <c r="P148" s="40"/>
    </row>
    <row r="149" spans="1:16" ht="66.75" customHeight="1" x14ac:dyDescent="0.3">
      <c r="A149" s="53" t="s">
        <v>235</v>
      </c>
      <c r="B149" s="25" t="s">
        <v>568</v>
      </c>
      <c r="C149" s="85"/>
      <c r="D149" s="55">
        <f>D150</f>
        <v>1.5</v>
      </c>
      <c r="E149" s="55">
        <f>E150</f>
        <v>1</v>
      </c>
      <c r="F149" s="55"/>
      <c r="G149" s="55">
        <f t="shared" ref="G149:I149" si="49">G150</f>
        <v>1</v>
      </c>
      <c r="H149" s="55"/>
      <c r="I149" s="55">
        <f t="shared" si="49"/>
        <v>1</v>
      </c>
      <c r="J149" s="33"/>
      <c r="K149" s="35"/>
      <c r="L149" s="40"/>
      <c r="M149" s="40"/>
      <c r="N149" s="40"/>
      <c r="O149" s="40"/>
      <c r="P149" s="40"/>
    </row>
    <row r="150" spans="1:16" ht="84.75" customHeight="1" x14ac:dyDescent="0.3">
      <c r="A150" s="53" t="s">
        <v>236</v>
      </c>
      <c r="B150" s="25" t="s">
        <v>569</v>
      </c>
      <c r="C150" s="85"/>
      <c r="D150" s="55">
        <f>1.1+0.4</f>
        <v>1.5</v>
      </c>
      <c r="E150" s="55">
        <v>1</v>
      </c>
      <c r="F150" s="55"/>
      <c r="G150" s="55">
        <v>1</v>
      </c>
      <c r="H150" s="55"/>
      <c r="I150" s="55">
        <v>1</v>
      </c>
      <c r="J150" s="33"/>
      <c r="K150" s="35"/>
      <c r="L150" s="40"/>
      <c r="M150" s="40"/>
      <c r="N150" s="40"/>
      <c r="O150" s="40"/>
      <c r="P150" s="40"/>
    </row>
    <row r="151" spans="1:16" ht="71.25" hidden="1" customHeight="1" x14ac:dyDescent="0.3">
      <c r="A151" s="53" t="s">
        <v>237</v>
      </c>
      <c r="B151" s="25" t="s">
        <v>238</v>
      </c>
      <c r="C151" s="85"/>
      <c r="D151" s="55"/>
      <c r="E151" s="55"/>
      <c r="F151" s="55"/>
      <c r="G151" s="55"/>
      <c r="H151" s="55"/>
      <c r="I151" s="55"/>
      <c r="J151" s="33"/>
      <c r="K151" s="35"/>
      <c r="L151" s="40"/>
      <c r="M151" s="40"/>
      <c r="N151" s="40"/>
      <c r="O151" s="40"/>
      <c r="P151" s="40"/>
    </row>
    <row r="152" spans="1:16" ht="96.75" hidden="1" customHeight="1" x14ac:dyDescent="0.3">
      <c r="A152" s="53" t="s">
        <v>239</v>
      </c>
      <c r="B152" s="25" t="s">
        <v>240</v>
      </c>
      <c r="C152" s="85"/>
      <c r="D152" s="55"/>
      <c r="E152" s="55"/>
      <c r="F152" s="55"/>
      <c r="G152" s="55"/>
      <c r="H152" s="55"/>
      <c r="I152" s="55"/>
      <c r="J152" s="33"/>
      <c r="K152" s="35"/>
      <c r="L152" s="40"/>
      <c r="M152" s="40"/>
      <c r="N152" s="40"/>
      <c r="O152" s="40"/>
      <c r="P152" s="40"/>
    </row>
    <row r="153" spans="1:16" ht="108.75" hidden="1" customHeight="1" x14ac:dyDescent="0.3">
      <c r="A153" s="53" t="s">
        <v>241</v>
      </c>
      <c r="B153" s="25" t="s">
        <v>242</v>
      </c>
      <c r="C153" s="85"/>
      <c r="D153" s="55"/>
      <c r="E153" s="55"/>
      <c r="F153" s="55"/>
      <c r="G153" s="55"/>
      <c r="H153" s="55"/>
      <c r="I153" s="55"/>
      <c r="J153" s="33"/>
      <c r="K153" s="35"/>
      <c r="L153" s="40"/>
      <c r="M153" s="40"/>
      <c r="N153" s="40"/>
      <c r="O153" s="40"/>
      <c r="P153" s="40"/>
    </row>
    <row r="154" spans="1:16" ht="3" hidden="1" customHeight="1" x14ac:dyDescent="0.3">
      <c r="A154" s="53" t="s">
        <v>243</v>
      </c>
      <c r="B154" s="25" t="s">
        <v>244</v>
      </c>
      <c r="C154" s="85"/>
      <c r="D154" s="55"/>
      <c r="E154" s="55"/>
      <c r="F154" s="55"/>
      <c r="G154" s="55"/>
      <c r="H154" s="55"/>
      <c r="I154" s="55"/>
      <c r="J154" s="33"/>
      <c r="K154" s="35"/>
      <c r="L154" s="40"/>
      <c r="M154" s="40"/>
      <c r="N154" s="40"/>
      <c r="O154" s="40"/>
      <c r="P154" s="40"/>
    </row>
    <row r="155" spans="1:16" ht="72" customHeight="1" x14ac:dyDescent="0.3">
      <c r="A155" s="53" t="s">
        <v>245</v>
      </c>
      <c r="B155" s="25" t="s">
        <v>570</v>
      </c>
      <c r="C155" s="85"/>
      <c r="D155" s="55">
        <f>D156</f>
        <v>50</v>
      </c>
      <c r="E155" s="55">
        <f>E156</f>
        <v>143.19999999999999</v>
      </c>
      <c r="F155" s="55"/>
      <c r="G155" s="55">
        <f t="shared" ref="G155:I155" si="50">G156</f>
        <v>143.19999999999999</v>
      </c>
      <c r="H155" s="55"/>
      <c r="I155" s="55">
        <f t="shared" si="50"/>
        <v>143.19999999999999</v>
      </c>
      <c r="J155" s="33"/>
      <c r="K155" s="35"/>
      <c r="L155" s="40"/>
      <c r="M155" s="40"/>
      <c r="N155" s="40"/>
      <c r="O155" s="40"/>
      <c r="P155" s="40"/>
    </row>
    <row r="156" spans="1:16" ht="86.25" customHeight="1" x14ac:dyDescent="0.3">
      <c r="A156" s="53" t="s">
        <v>246</v>
      </c>
      <c r="B156" s="25" t="s">
        <v>571</v>
      </c>
      <c r="C156" s="85"/>
      <c r="D156" s="55">
        <f>350.5-300.5</f>
        <v>50</v>
      </c>
      <c r="E156" s="55">
        <f>143.2</f>
        <v>143.19999999999999</v>
      </c>
      <c r="F156" s="55"/>
      <c r="G156" s="55">
        <v>143.19999999999999</v>
      </c>
      <c r="H156" s="55"/>
      <c r="I156" s="55">
        <v>143.19999999999999</v>
      </c>
      <c r="J156" s="33"/>
      <c r="K156" s="38"/>
      <c r="L156" s="40"/>
      <c r="M156" s="40"/>
      <c r="N156" s="40"/>
      <c r="O156" s="40"/>
      <c r="P156" s="40"/>
    </row>
    <row r="157" spans="1:16" ht="9.75" hidden="1" customHeight="1" x14ac:dyDescent="0.3">
      <c r="A157" s="53" t="s">
        <v>247</v>
      </c>
      <c r="B157" s="25" t="s">
        <v>248</v>
      </c>
      <c r="C157" s="85"/>
      <c r="D157" s="55"/>
      <c r="E157" s="55"/>
      <c r="F157" s="55"/>
      <c r="G157" s="55"/>
      <c r="H157" s="55"/>
      <c r="I157" s="55"/>
      <c r="J157" s="33"/>
      <c r="K157" s="35"/>
      <c r="L157" s="40"/>
      <c r="M157" s="40"/>
      <c r="N157" s="40"/>
      <c r="O157" s="40"/>
      <c r="P157" s="40"/>
    </row>
    <row r="158" spans="1:16" ht="68.25" customHeight="1" x14ac:dyDescent="0.3">
      <c r="A158" s="53" t="s">
        <v>249</v>
      </c>
      <c r="B158" s="25" t="s">
        <v>572</v>
      </c>
      <c r="C158" s="85"/>
      <c r="D158" s="55">
        <f>D159+D160</f>
        <v>38.5</v>
      </c>
      <c r="E158" s="55">
        <f>E159+E160</f>
        <v>6.7</v>
      </c>
      <c r="F158" s="55"/>
      <c r="G158" s="55">
        <f t="shared" ref="G158:I158" si="51">G159+G160</f>
        <v>4</v>
      </c>
      <c r="H158" s="55"/>
      <c r="I158" s="55">
        <f t="shared" si="51"/>
        <v>4</v>
      </c>
      <c r="J158" s="33"/>
      <c r="K158" s="35"/>
      <c r="L158" s="40"/>
      <c r="M158" s="40"/>
      <c r="N158" s="40"/>
      <c r="O158" s="40"/>
      <c r="P158" s="40"/>
    </row>
    <row r="159" spans="1:16" ht="96.75" customHeight="1" x14ac:dyDescent="0.3">
      <c r="A159" s="53" t="s">
        <v>250</v>
      </c>
      <c r="B159" s="25" t="s">
        <v>573</v>
      </c>
      <c r="C159" s="85"/>
      <c r="D159" s="55">
        <f>4+12.5+3.5+5+6+4+3.5</f>
        <v>38.5</v>
      </c>
      <c r="E159" s="55">
        <f>4+2.7</f>
        <v>6.7</v>
      </c>
      <c r="F159" s="55"/>
      <c r="G159" s="55">
        <v>4</v>
      </c>
      <c r="H159" s="55"/>
      <c r="I159" s="55">
        <v>4</v>
      </c>
      <c r="J159" s="33"/>
      <c r="K159" s="35"/>
      <c r="L159" s="40"/>
      <c r="M159" s="40"/>
      <c r="N159" s="40"/>
      <c r="O159" s="40"/>
      <c r="P159" s="40"/>
    </row>
    <row r="160" spans="1:16" ht="90.75" hidden="1" customHeight="1" x14ac:dyDescent="0.3">
      <c r="A160" s="53" t="s">
        <v>251</v>
      </c>
      <c r="B160" s="25" t="s">
        <v>252</v>
      </c>
      <c r="C160" s="85"/>
      <c r="D160" s="55"/>
      <c r="E160" s="55"/>
      <c r="F160" s="55"/>
      <c r="G160" s="55"/>
      <c r="H160" s="55"/>
      <c r="I160" s="55"/>
      <c r="J160" s="33"/>
      <c r="K160" s="35"/>
      <c r="L160" s="40"/>
      <c r="M160" s="40"/>
      <c r="N160" s="40"/>
      <c r="O160" s="40"/>
      <c r="P160" s="40"/>
    </row>
    <row r="161" spans="1:16" ht="48.75" hidden="1" customHeight="1" x14ac:dyDescent="0.3">
      <c r="A161" s="53" t="s">
        <v>253</v>
      </c>
      <c r="B161" s="25" t="s">
        <v>254</v>
      </c>
      <c r="C161" s="85"/>
      <c r="D161" s="55"/>
      <c r="E161" s="55"/>
      <c r="F161" s="55"/>
      <c r="G161" s="55"/>
      <c r="H161" s="55"/>
      <c r="I161" s="55"/>
      <c r="J161" s="33"/>
      <c r="K161" s="35"/>
      <c r="L161" s="40"/>
      <c r="M161" s="40"/>
      <c r="N161" s="40"/>
      <c r="O161" s="40"/>
      <c r="P161" s="40"/>
    </row>
    <row r="162" spans="1:16" ht="72.75" hidden="1" customHeight="1" x14ac:dyDescent="0.3">
      <c r="A162" s="53" t="s">
        <v>255</v>
      </c>
      <c r="B162" s="25" t="s">
        <v>256</v>
      </c>
      <c r="C162" s="85"/>
      <c r="D162" s="55"/>
      <c r="E162" s="55"/>
      <c r="F162" s="55"/>
      <c r="G162" s="55"/>
      <c r="H162" s="55"/>
      <c r="I162" s="55"/>
      <c r="J162" s="33"/>
      <c r="K162" s="35"/>
      <c r="L162" s="40"/>
      <c r="M162" s="40"/>
      <c r="N162" s="40"/>
      <c r="O162" s="40"/>
      <c r="P162" s="40"/>
    </row>
    <row r="163" spans="1:16" ht="42" customHeight="1" x14ac:dyDescent="0.3">
      <c r="A163" s="53" t="s">
        <v>257</v>
      </c>
      <c r="B163" s="25" t="s">
        <v>258</v>
      </c>
      <c r="C163" s="85"/>
      <c r="D163" s="55">
        <f>D164</f>
        <v>7.5</v>
      </c>
      <c r="E163" s="55">
        <f t="shared" ref="E163:G163" si="52">E164</f>
        <v>5</v>
      </c>
      <c r="F163" s="55"/>
      <c r="G163" s="55">
        <f t="shared" si="52"/>
        <v>5</v>
      </c>
      <c r="H163" s="55"/>
      <c r="I163" s="55">
        <f t="shared" ref="I163" si="53">I164</f>
        <v>5</v>
      </c>
      <c r="J163" s="33"/>
      <c r="K163" s="35"/>
      <c r="L163" s="40"/>
      <c r="M163" s="40"/>
      <c r="N163" s="40"/>
      <c r="O163" s="40"/>
      <c r="P163" s="40"/>
    </row>
    <row r="164" spans="1:16" ht="54.75" customHeight="1" x14ac:dyDescent="0.3">
      <c r="A164" s="53" t="s">
        <v>259</v>
      </c>
      <c r="B164" s="25" t="s">
        <v>260</v>
      </c>
      <c r="C164" s="85"/>
      <c r="D164" s="55">
        <f>2.5+2.5+2.5</f>
        <v>7.5</v>
      </c>
      <c r="E164" s="55">
        <v>5</v>
      </c>
      <c r="F164" s="55"/>
      <c r="G164" s="55">
        <v>5</v>
      </c>
      <c r="H164" s="55"/>
      <c r="I164" s="55">
        <v>5</v>
      </c>
      <c r="J164" s="33"/>
      <c r="K164" s="35"/>
      <c r="L164" s="40"/>
      <c r="M164" s="40"/>
      <c r="N164" s="40"/>
      <c r="O164" s="40"/>
      <c r="P164" s="40"/>
    </row>
    <row r="165" spans="1:16" ht="120" customHeight="1" x14ac:dyDescent="0.3">
      <c r="A165" s="53" t="s">
        <v>261</v>
      </c>
      <c r="B165" s="25" t="s">
        <v>574</v>
      </c>
      <c r="C165" s="85"/>
      <c r="D165" s="55">
        <f>D166+D168+D170+D172</f>
        <v>43.1</v>
      </c>
      <c r="E165" s="55">
        <f t="shared" ref="E165:G165" si="54">E166+E168+E170+E172</f>
        <v>33.299999999999997</v>
      </c>
      <c r="F165" s="55"/>
      <c r="G165" s="55">
        <f t="shared" si="54"/>
        <v>33.299999999999997</v>
      </c>
      <c r="H165" s="55"/>
      <c r="I165" s="55">
        <f t="shared" ref="I165" si="55">I166+I168+I170+I172</f>
        <v>33.299999999999997</v>
      </c>
      <c r="J165" s="33"/>
      <c r="K165" s="35"/>
      <c r="L165" s="40"/>
      <c r="M165" s="40"/>
      <c r="N165" s="40"/>
      <c r="O165" s="40"/>
      <c r="P165" s="40"/>
    </row>
    <row r="166" spans="1:16" ht="67.5" customHeight="1" x14ac:dyDescent="0.3">
      <c r="A166" s="53" t="s">
        <v>262</v>
      </c>
      <c r="B166" s="25" t="s">
        <v>263</v>
      </c>
      <c r="C166" s="85"/>
      <c r="D166" s="54">
        <f>D167</f>
        <v>43.1</v>
      </c>
      <c r="E166" s="54">
        <f t="shared" ref="E166:I166" si="56">E167</f>
        <v>33.299999999999997</v>
      </c>
      <c r="F166" s="54"/>
      <c r="G166" s="54">
        <f t="shared" si="56"/>
        <v>33.299999999999997</v>
      </c>
      <c r="H166" s="54"/>
      <c r="I166" s="54">
        <f t="shared" si="56"/>
        <v>33.299999999999997</v>
      </c>
      <c r="J166" s="33"/>
      <c r="K166" s="35"/>
      <c r="L166" s="40"/>
      <c r="M166" s="40"/>
      <c r="N166" s="40"/>
      <c r="O166" s="40"/>
      <c r="P166" s="40"/>
    </row>
    <row r="167" spans="1:16" ht="81" customHeight="1" x14ac:dyDescent="0.3">
      <c r="A167" s="53" t="s">
        <v>264</v>
      </c>
      <c r="B167" s="25" t="s">
        <v>265</v>
      </c>
      <c r="C167" s="85"/>
      <c r="D167" s="54">
        <f>70-26.9</f>
        <v>43.1</v>
      </c>
      <c r="E167" s="54">
        <v>33.299999999999997</v>
      </c>
      <c r="F167" s="54"/>
      <c r="G167" s="54">
        <v>33.299999999999997</v>
      </c>
      <c r="H167" s="54"/>
      <c r="I167" s="54">
        <v>33.299999999999997</v>
      </c>
      <c r="J167" s="33"/>
      <c r="K167" s="35"/>
      <c r="L167" s="40"/>
      <c r="M167" s="40"/>
      <c r="N167" s="40"/>
      <c r="O167" s="40"/>
      <c r="P167" s="40"/>
    </row>
    <row r="168" spans="1:16" ht="78.75" hidden="1" customHeight="1" x14ac:dyDescent="0.3">
      <c r="A168" s="59" t="s">
        <v>266</v>
      </c>
      <c r="B168" s="25" t="s">
        <v>267</v>
      </c>
      <c r="C168" s="85"/>
      <c r="D168" s="60">
        <f>D169</f>
        <v>0</v>
      </c>
      <c r="E168" s="60"/>
      <c r="F168" s="60"/>
      <c r="G168" s="60">
        <f t="shared" ref="G168:I168" si="57">G169</f>
        <v>0</v>
      </c>
      <c r="H168" s="60"/>
      <c r="I168" s="60">
        <f t="shared" si="57"/>
        <v>0</v>
      </c>
      <c r="J168" s="33"/>
      <c r="K168" s="35"/>
      <c r="L168" s="40"/>
      <c r="M168" s="40"/>
      <c r="N168" s="40"/>
      <c r="O168" s="40"/>
      <c r="P168" s="40"/>
    </row>
    <row r="169" spans="1:16" ht="78" hidden="1" customHeight="1" x14ac:dyDescent="0.3">
      <c r="A169" s="53" t="s">
        <v>268</v>
      </c>
      <c r="B169" s="25" t="s">
        <v>269</v>
      </c>
      <c r="C169" s="85"/>
      <c r="D169" s="61"/>
      <c r="E169" s="61"/>
      <c r="F169" s="61"/>
      <c r="G169" s="61"/>
      <c r="H169" s="61"/>
      <c r="I169" s="61"/>
      <c r="J169" s="33"/>
      <c r="K169" s="35"/>
      <c r="L169" s="40"/>
      <c r="M169" s="40"/>
      <c r="N169" s="40"/>
      <c r="O169" s="40"/>
      <c r="P169" s="40"/>
    </row>
    <row r="170" spans="1:16" ht="70.5" hidden="1" customHeight="1" x14ac:dyDescent="0.3">
      <c r="A170" s="53" t="s">
        <v>270</v>
      </c>
      <c r="B170" s="25" t="s">
        <v>271</v>
      </c>
      <c r="C170" s="85"/>
      <c r="D170" s="61">
        <f>D171</f>
        <v>0</v>
      </c>
      <c r="E170" s="61"/>
      <c r="F170" s="61"/>
      <c r="G170" s="61">
        <f t="shared" ref="G170:I170" si="58">G171</f>
        <v>0</v>
      </c>
      <c r="H170" s="61"/>
      <c r="I170" s="61">
        <f t="shared" si="58"/>
        <v>0</v>
      </c>
      <c r="J170" s="33"/>
      <c r="K170" s="35"/>
      <c r="L170" s="40"/>
      <c r="M170" s="40"/>
      <c r="N170" s="40"/>
      <c r="O170" s="40"/>
      <c r="P170" s="40"/>
    </row>
    <row r="171" spans="1:16" ht="69" hidden="1" customHeight="1" x14ac:dyDescent="0.3">
      <c r="A171" s="53" t="s">
        <v>272</v>
      </c>
      <c r="B171" s="25" t="s">
        <v>273</v>
      </c>
      <c r="C171" s="85"/>
      <c r="D171" s="61"/>
      <c r="E171" s="61"/>
      <c r="F171" s="61"/>
      <c r="G171" s="61"/>
      <c r="H171" s="61"/>
      <c r="I171" s="61"/>
      <c r="J171" s="33"/>
      <c r="K171" s="35"/>
      <c r="L171" s="40"/>
      <c r="M171" s="40"/>
      <c r="N171" s="40"/>
      <c r="O171" s="40"/>
      <c r="P171" s="40"/>
    </row>
    <row r="172" spans="1:16" ht="79.5" hidden="1" customHeight="1" x14ac:dyDescent="0.3">
      <c r="A172" s="53" t="s">
        <v>274</v>
      </c>
      <c r="B172" s="25" t="s">
        <v>275</v>
      </c>
      <c r="C172" s="85"/>
      <c r="D172" s="62" t="str">
        <f>D173</f>
        <v>0</v>
      </c>
      <c r="E172" s="62"/>
      <c r="F172" s="62"/>
      <c r="G172" s="62" t="str">
        <f t="shared" ref="G172:I172" si="59">G173</f>
        <v>0</v>
      </c>
      <c r="H172" s="62"/>
      <c r="I172" s="62" t="str">
        <f t="shared" si="59"/>
        <v>0</v>
      </c>
      <c r="J172" s="33"/>
      <c r="K172" s="35"/>
      <c r="L172" s="40"/>
      <c r="M172" s="40"/>
      <c r="N172" s="40"/>
      <c r="O172" s="40"/>
      <c r="P172" s="40"/>
    </row>
    <row r="173" spans="1:16" ht="75.75" hidden="1" customHeight="1" x14ac:dyDescent="0.3">
      <c r="A173" s="53" t="s">
        <v>276</v>
      </c>
      <c r="B173" s="25" t="s">
        <v>277</v>
      </c>
      <c r="C173" s="85"/>
      <c r="D173" s="63" t="s">
        <v>278</v>
      </c>
      <c r="E173" s="63"/>
      <c r="F173" s="63"/>
      <c r="G173" s="63" t="s">
        <v>278</v>
      </c>
      <c r="H173" s="63"/>
      <c r="I173" s="63" t="s">
        <v>278</v>
      </c>
      <c r="J173" s="33"/>
      <c r="K173" s="35"/>
      <c r="L173" s="40"/>
      <c r="M173" s="40"/>
      <c r="N173" s="40"/>
      <c r="O173" s="40"/>
      <c r="P173" s="40"/>
    </row>
    <row r="174" spans="1:16" ht="46.5" hidden="1" customHeight="1" x14ac:dyDescent="0.3">
      <c r="A174" s="53" t="s">
        <v>279</v>
      </c>
      <c r="B174" s="25" t="s">
        <v>280</v>
      </c>
      <c r="C174" s="85"/>
      <c r="D174" s="61"/>
      <c r="E174" s="61"/>
      <c r="F174" s="61"/>
      <c r="G174" s="61"/>
      <c r="H174" s="61"/>
      <c r="I174" s="61"/>
      <c r="J174" s="33"/>
      <c r="K174" s="35"/>
      <c r="L174" s="40"/>
      <c r="M174" s="40"/>
      <c r="N174" s="40"/>
      <c r="O174" s="40"/>
      <c r="P174" s="40"/>
    </row>
    <row r="175" spans="1:16" ht="26.25" customHeight="1" x14ac:dyDescent="0.3">
      <c r="A175" s="53" t="s">
        <v>281</v>
      </c>
      <c r="B175" s="25" t="s">
        <v>282</v>
      </c>
      <c r="C175" s="85"/>
      <c r="D175" s="54">
        <f>D176+D179+D181+D185</f>
        <v>70.5</v>
      </c>
      <c r="E175" s="54">
        <f t="shared" ref="E175:I175" si="60">E176+E179+E181+E185</f>
        <v>1.5999999999999999</v>
      </c>
      <c r="F175" s="54"/>
      <c r="G175" s="54">
        <f t="shared" si="60"/>
        <v>0</v>
      </c>
      <c r="H175" s="54"/>
      <c r="I175" s="54">
        <f t="shared" si="60"/>
        <v>0</v>
      </c>
      <c r="J175" s="33"/>
      <c r="K175" s="35"/>
      <c r="L175" s="40"/>
      <c r="M175" s="40"/>
      <c r="N175" s="40"/>
      <c r="O175" s="40"/>
      <c r="P175" s="40"/>
    </row>
    <row r="176" spans="1:16" ht="84" hidden="1" customHeight="1" x14ac:dyDescent="0.3">
      <c r="A176" s="53" t="s">
        <v>283</v>
      </c>
      <c r="B176" s="25" t="s">
        <v>284</v>
      </c>
      <c r="C176" s="85"/>
      <c r="D176" s="54">
        <f>D177+D178</f>
        <v>0</v>
      </c>
      <c r="E176" s="54">
        <f t="shared" ref="E176:I176" si="61">E177+E178</f>
        <v>0</v>
      </c>
      <c r="F176" s="54"/>
      <c r="G176" s="54">
        <f t="shared" si="61"/>
        <v>0</v>
      </c>
      <c r="H176" s="54"/>
      <c r="I176" s="54">
        <f t="shared" si="61"/>
        <v>0</v>
      </c>
      <c r="J176" s="33"/>
      <c r="K176" s="35"/>
      <c r="L176" s="40"/>
      <c r="M176" s="40"/>
      <c r="N176" s="40"/>
      <c r="O176" s="40"/>
      <c r="P176" s="40"/>
    </row>
    <row r="177" spans="1:16" ht="49.5" hidden="1" customHeight="1" x14ac:dyDescent="0.3">
      <c r="A177" s="53" t="s">
        <v>285</v>
      </c>
      <c r="B177" s="25" t="s">
        <v>286</v>
      </c>
      <c r="C177" s="85"/>
      <c r="D177" s="54"/>
      <c r="E177" s="54"/>
      <c r="F177" s="54"/>
      <c r="G177" s="54"/>
      <c r="H177" s="54"/>
      <c r="I177" s="54"/>
      <c r="J177" s="33"/>
      <c r="K177" s="35"/>
      <c r="L177" s="40"/>
      <c r="M177" s="40"/>
      <c r="N177" s="40"/>
      <c r="O177" s="40"/>
      <c r="P177" s="40"/>
    </row>
    <row r="178" spans="1:16" ht="54.75" hidden="1" customHeight="1" x14ac:dyDescent="0.3">
      <c r="A178" s="53" t="s">
        <v>287</v>
      </c>
      <c r="B178" s="25" t="s">
        <v>288</v>
      </c>
      <c r="C178" s="85"/>
      <c r="D178" s="54"/>
      <c r="E178" s="54"/>
      <c r="F178" s="54"/>
      <c r="G178" s="54"/>
      <c r="H178" s="54"/>
      <c r="I178" s="54"/>
      <c r="J178" s="33"/>
      <c r="K178" s="35"/>
      <c r="L178" s="40"/>
      <c r="M178" s="40"/>
      <c r="N178" s="40"/>
      <c r="O178" s="40"/>
      <c r="P178" s="40"/>
    </row>
    <row r="179" spans="1:16" ht="36.75" hidden="1" customHeight="1" x14ac:dyDescent="0.3">
      <c r="A179" s="53" t="s">
        <v>289</v>
      </c>
      <c r="B179" s="25" t="s">
        <v>290</v>
      </c>
      <c r="C179" s="85"/>
      <c r="D179" s="54">
        <f>D180</f>
        <v>0</v>
      </c>
      <c r="E179" s="54">
        <f t="shared" ref="E179:I179" si="62">E180</f>
        <v>0</v>
      </c>
      <c r="F179" s="54"/>
      <c r="G179" s="54">
        <f t="shared" si="62"/>
        <v>0</v>
      </c>
      <c r="H179" s="54"/>
      <c r="I179" s="54">
        <f t="shared" si="62"/>
        <v>0</v>
      </c>
      <c r="J179" s="33"/>
      <c r="K179" s="35"/>
      <c r="L179" s="40"/>
      <c r="M179" s="40"/>
      <c r="N179" s="40"/>
      <c r="O179" s="40"/>
      <c r="P179" s="40"/>
    </row>
    <row r="180" spans="1:16" ht="84.75" hidden="1" customHeight="1" x14ac:dyDescent="0.3">
      <c r="A180" s="53" t="s">
        <v>291</v>
      </c>
      <c r="B180" s="25" t="s">
        <v>292</v>
      </c>
      <c r="C180" s="85"/>
      <c r="D180" s="54"/>
      <c r="E180" s="54"/>
      <c r="F180" s="54"/>
      <c r="G180" s="54"/>
      <c r="H180" s="54"/>
      <c r="I180" s="54"/>
      <c r="J180" s="33"/>
      <c r="K180" s="35"/>
      <c r="L180" s="40"/>
      <c r="M180" s="40"/>
      <c r="N180" s="40"/>
      <c r="O180" s="40"/>
      <c r="P180" s="40"/>
    </row>
    <row r="181" spans="1:16" ht="57" customHeight="1" x14ac:dyDescent="0.3">
      <c r="A181" s="53" t="s">
        <v>293</v>
      </c>
      <c r="B181" s="25" t="s">
        <v>294</v>
      </c>
      <c r="C181" s="85"/>
      <c r="D181" s="54">
        <f>D182+D183</f>
        <v>2.1999999999999997</v>
      </c>
      <c r="E181" s="54">
        <f t="shared" ref="E181:I181" si="63">E182+E183</f>
        <v>1.4</v>
      </c>
      <c r="F181" s="54"/>
      <c r="G181" s="54">
        <f t="shared" si="63"/>
        <v>0</v>
      </c>
      <c r="H181" s="54"/>
      <c r="I181" s="54">
        <f t="shared" si="63"/>
        <v>0</v>
      </c>
      <c r="J181" s="33"/>
      <c r="K181" s="35"/>
      <c r="L181" s="40"/>
      <c r="M181" s="40"/>
      <c r="N181" s="40"/>
      <c r="O181" s="40"/>
      <c r="P181" s="40"/>
    </row>
    <row r="182" spans="1:16" ht="111.75" customHeight="1" x14ac:dyDescent="0.3">
      <c r="A182" s="53" t="s">
        <v>295</v>
      </c>
      <c r="B182" s="25" t="s">
        <v>296</v>
      </c>
      <c r="C182" s="85"/>
      <c r="D182" s="54">
        <f>5.1-2.9</f>
        <v>2.1999999999999997</v>
      </c>
      <c r="E182" s="54">
        <v>1.4</v>
      </c>
      <c r="F182" s="54"/>
      <c r="G182" s="61"/>
      <c r="H182" s="61"/>
      <c r="I182" s="61"/>
      <c r="J182" s="33"/>
      <c r="K182" s="35"/>
      <c r="L182" s="40"/>
      <c r="M182" s="40"/>
      <c r="N182" s="40"/>
      <c r="O182" s="40"/>
      <c r="P182" s="40"/>
    </row>
    <row r="183" spans="1:16" ht="76.5" hidden="1" customHeight="1" x14ac:dyDescent="0.3">
      <c r="A183" s="53" t="s">
        <v>297</v>
      </c>
      <c r="B183" s="25" t="s">
        <v>298</v>
      </c>
      <c r="C183" s="85"/>
      <c r="D183" s="64"/>
      <c r="E183" s="64"/>
      <c r="F183" s="64"/>
      <c r="G183" s="61"/>
      <c r="H183" s="61"/>
      <c r="I183" s="61"/>
      <c r="J183" s="33"/>
      <c r="K183" s="35"/>
      <c r="L183" s="40"/>
      <c r="M183" s="40"/>
      <c r="N183" s="40"/>
      <c r="O183" s="40"/>
      <c r="P183" s="40"/>
    </row>
    <row r="184" spans="1:16" ht="51" hidden="1" customHeight="1" x14ac:dyDescent="0.3">
      <c r="A184" s="53" t="s">
        <v>521</v>
      </c>
      <c r="B184" s="25" t="s">
        <v>520</v>
      </c>
      <c r="C184" s="85"/>
      <c r="D184" s="64"/>
      <c r="E184" s="64"/>
      <c r="F184" s="64"/>
      <c r="G184" s="61"/>
      <c r="H184" s="61"/>
      <c r="I184" s="61"/>
      <c r="J184" s="33"/>
      <c r="K184" s="35"/>
      <c r="L184" s="40"/>
      <c r="M184" s="40"/>
      <c r="N184" s="40"/>
      <c r="O184" s="40"/>
      <c r="P184" s="40"/>
    </row>
    <row r="185" spans="1:16" ht="82.5" customHeight="1" x14ac:dyDescent="0.3">
      <c r="A185" s="2" t="s">
        <v>299</v>
      </c>
      <c r="B185" s="25" t="s">
        <v>575</v>
      </c>
      <c r="C185" s="85"/>
      <c r="D185" s="54">
        <f>D186+D187</f>
        <v>68.3</v>
      </c>
      <c r="E185" s="54">
        <f t="shared" ref="E185:I185" si="64">E186+E187</f>
        <v>0.2</v>
      </c>
      <c r="F185" s="54"/>
      <c r="G185" s="54">
        <f t="shared" si="64"/>
        <v>0</v>
      </c>
      <c r="H185" s="54"/>
      <c r="I185" s="54">
        <f t="shared" si="64"/>
        <v>0</v>
      </c>
      <c r="J185" s="33"/>
      <c r="K185" s="35"/>
      <c r="L185" s="40"/>
      <c r="M185" s="40"/>
      <c r="N185" s="40"/>
      <c r="O185" s="40"/>
      <c r="P185" s="40"/>
    </row>
    <row r="186" spans="1:16" ht="71.25" hidden="1" customHeight="1" x14ac:dyDescent="0.3">
      <c r="A186" s="2" t="s">
        <v>300</v>
      </c>
      <c r="B186" s="25" t="s">
        <v>576</v>
      </c>
      <c r="C186" s="85"/>
      <c r="D186" s="54">
        <f>10.7+19.3+25+5</f>
        <v>60</v>
      </c>
      <c r="E186" s="54"/>
      <c r="F186" s="54"/>
      <c r="G186" s="54"/>
      <c r="H186" s="54"/>
      <c r="I186" s="54"/>
      <c r="J186" s="34"/>
      <c r="K186" s="35"/>
      <c r="L186" s="40"/>
      <c r="M186" s="40"/>
      <c r="N186" s="40"/>
      <c r="O186" s="40"/>
      <c r="P186" s="40"/>
    </row>
    <row r="187" spans="1:16" ht="78" customHeight="1" x14ac:dyDescent="0.3">
      <c r="A187" s="2" t="s">
        <v>301</v>
      </c>
      <c r="B187" s="25" t="s">
        <v>577</v>
      </c>
      <c r="C187" s="85"/>
      <c r="D187" s="54">
        <f>6.7+3.3+1.1-2.8</f>
        <v>8.3000000000000007</v>
      </c>
      <c r="E187" s="54">
        <v>0.2</v>
      </c>
      <c r="F187" s="54"/>
      <c r="G187" s="54"/>
      <c r="H187" s="54"/>
      <c r="I187" s="54"/>
      <c r="J187" s="34"/>
      <c r="K187" s="35"/>
      <c r="L187" s="40"/>
      <c r="M187" s="40"/>
      <c r="N187" s="40"/>
      <c r="O187" s="40"/>
      <c r="P187" s="40"/>
    </row>
    <row r="188" spans="1:16" ht="26.25" customHeight="1" x14ac:dyDescent="0.3">
      <c r="A188" s="53" t="s">
        <v>302</v>
      </c>
      <c r="B188" s="25" t="s">
        <v>303</v>
      </c>
      <c r="C188" s="85"/>
      <c r="D188" s="65">
        <f>D189+D190+D191+D192+D193</f>
        <v>186.6</v>
      </c>
      <c r="E188" s="65">
        <f t="shared" ref="E188:I188" si="65">E189+E190+E191+E192+E193</f>
        <v>1104.3</v>
      </c>
      <c r="F188" s="65"/>
      <c r="G188" s="65">
        <f t="shared" si="65"/>
        <v>0</v>
      </c>
      <c r="H188" s="65"/>
      <c r="I188" s="65">
        <f t="shared" si="65"/>
        <v>0</v>
      </c>
      <c r="J188" s="33"/>
      <c r="K188" s="35"/>
      <c r="L188" s="40"/>
      <c r="M188" s="40"/>
      <c r="N188" s="40"/>
      <c r="O188" s="40"/>
      <c r="P188" s="40"/>
    </row>
    <row r="189" spans="1:16" ht="74.25" hidden="1" customHeight="1" x14ac:dyDescent="0.3">
      <c r="A189" s="53" t="s">
        <v>304</v>
      </c>
      <c r="B189" s="25" t="s">
        <v>305</v>
      </c>
      <c r="C189" s="85"/>
      <c r="D189" s="65"/>
      <c r="E189" s="65"/>
      <c r="F189" s="65"/>
      <c r="G189" s="61"/>
      <c r="H189" s="61"/>
      <c r="I189" s="61"/>
      <c r="J189" s="33"/>
      <c r="K189" s="35"/>
      <c r="L189" s="40"/>
      <c r="M189" s="40"/>
      <c r="N189" s="40"/>
      <c r="O189" s="40"/>
      <c r="P189" s="40"/>
    </row>
    <row r="190" spans="1:16" ht="102.75" customHeight="1" x14ac:dyDescent="0.3">
      <c r="A190" s="53" t="s">
        <v>306</v>
      </c>
      <c r="B190" s="25" t="s">
        <v>578</v>
      </c>
      <c r="C190" s="85"/>
      <c r="D190" s="54">
        <f>60+97.5+29.1</f>
        <v>186.6</v>
      </c>
      <c r="E190" s="54">
        <v>1104.3</v>
      </c>
      <c r="F190" s="54"/>
      <c r="G190" s="54"/>
      <c r="H190" s="54"/>
      <c r="I190" s="54"/>
      <c r="J190" s="33"/>
      <c r="K190" s="35"/>
      <c r="L190" s="40"/>
      <c r="M190" s="40"/>
      <c r="N190" s="40"/>
      <c r="O190" s="40"/>
      <c r="P190" s="40"/>
    </row>
    <row r="191" spans="1:16" ht="34.5" hidden="1" customHeight="1" x14ac:dyDescent="0.3">
      <c r="A191" s="53" t="s">
        <v>307</v>
      </c>
      <c r="B191" s="25" t="s">
        <v>308</v>
      </c>
      <c r="C191" s="85"/>
      <c r="D191" s="61"/>
      <c r="E191" s="61"/>
      <c r="F191" s="61"/>
      <c r="G191" s="61"/>
      <c r="H191" s="61"/>
      <c r="I191" s="61"/>
      <c r="J191" s="33"/>
      <c r="K191" s="35"/>
      <c r="L191" s="40"/>
      <c r="M191" s="40"/>
      <c r="N191" s="40"/>
      <c r="O191" s="40"/>
      <c r="P191" s="40"/>
    </row>
    <row r="192" spans="1:16" ht="69.75" hidden="1" customHeight="1" x14ac:dyDescent="0.3">
      <c r="A192" s="53" t="s">
        <v>309</v>
      </c>
      <c r="B192" s="25" t="s">
        <v>310</v>
      </c>
      <c r="C192" s="85"/>
      <c r="D192" s="61"/>
      <c r="E192" s="61"/>
      <c r="F192" s="61"/>
      <c r="G192" s="61"/>
      <c r="H192" s="61"/>
      <c r="I192" s="61"/>
      <c r="J192" s="33"/>
      <c r="K192" s="35"/>
      <c r="L192" s="40"/>
      <c r="M192" s="40"/>
      <c r="N192" s="40"/>
      <c r="O192" s="40"/>
      <c r="P192" s="40"/>
    </row>
    <row r="193" spans="1:16" ht="60.75" hidden="1" customHeight="1" x14ac:dyDescent="0.3">
      <c r="A193" s="53" t="s">
        <v>311</v>
      </c>
      <c r="B193" s="25" t="s">
        <v>312</v>
      </c>
      <c r="C193" s="85"/>
      <c r="D193" s="61"/>
      <c r="E193" s="61"/>
      <c r="F193" s="61"/>
      <c r="G193" s="61"/>
      <c r="H193" s="61"/>
      <c r="I193" s="61"/>
      <c r="J193" s="33"/>
      <c r="K193" s="35"/>
      <c r="L193" s="40"/>
      <c r="M193" s="40"/>
      <c r="N193" s="40"/>
      <c r="O193" s="40"/>
      <c r="P193" s="40"/>
    </row>
    <row r="194" spans="1:16" ht="29.25" hidden="1" customHeight="1" x14ac:dyDescent="0.3">
      <c r="A194" s="56" t="s">
        <v>313</v>
      </c>
      <c r="B194" s="57" t="s">
        <v>314</v>
      </c>
      <c r="C194" s="57"/>
      <c r="D194" s="61">
        <f>D195+D197+D199</f>
        <v>0</v>
      </c>
      <c r="E194" s="61"/>
      <c r="F194" s="61"/>
      <c r="G194" s="61">
        <f t="shared" ref="G194:I194" si="66">G195+G197+G199</f>
        <v>0</v>
      </c>
      <c r="H194" s="61"/>
      <c r="I194" s="61">
        <f t="shared" si="66"/>
        <v>0</v>
      </c>
      <c r="J194" s="33"/>
      <c r="K194" s="35"/>
      <c r="L194" s="40"/>
      <c r="M194" s="40"/>
      <c r="N194" s="40"/>
      <c r="O194" s="40"/>
      <c r="P194" s="40"/>
    </row>
    <row r="195" spans="1:16" ht="26.25" hidden="1" customHeight="1" x14ac:dyDescent="0.3">
      <c r="A195" s="53" t="s">
        <v>315</v>
      </c>
      <c r="B195" s="25" t="s">
        <v>316</v>
      </c>
      <c r="C195" s="85"/>
      <c r="D195" s="61">
        <f>D196</f>
        <v>0</v>
      </c>
      <c r="E195" s="61"/>
      <c r="F195" s="61"/>
      <c r="G195" s="61">
        <f t="shared" ref="G195:I195" si="67">G196</f>
        <v>0</v>
      </c>
      <c r="H195" s="61"/>
      <c r="I195" s="61">
        <f t="shared" si="67"/>
        <v>0</v>
      </c>
      <c r="J195" s="33"/>
      <c r="K195" s="35"/>
      <c r="L195" s="40"/>
      <c r="M195" s="40"/>
      <c r="N195" s="40"/>
      <c r="O195" s="40"/>
      <c r="P195" s="40"/>
    </row>
    <row r="196" spans="1:16" ht="26.25" hidden="1" customHeight="1" x14ac:dyDescent="0.3">
      <c r="A196" s="53" t="s">
        <v>317</v>
      </c>
      <c r="B196" s="25" t="s">
        <v>318</v>
      </c>
      <c r="C196" s="85"/>
      <c r="D196" s="61"/>
      <c r="E196" s="61"/>
      <c r="F196" s="61"/>
      <c r="G196" s="61"/>
      <c r="H196" s="61"/>
      <c r="I196" s="61"/>
      <c r="J196" s="33"/>
      <c r="K196" s="35"/>
      <c r="L196" s="40"/>
      <c r="M196" s="40"/>
      <c r="N196" s="40"/>
      <c r="O196" s="40"/>
      <c r="P196" s="40"/>
    </row>
    <row r="197" spans="1:16" ht="26.25" hidden="1" customHeight="1" x14ac:dyDescent="0.3">
      <c r="A197" s="53" t="s">
        <v>319</v>
      </c>
      <c r="B197" s="25" t="s">
        <v>320</v>
      </c>
      <c r="C197" s="85"/>
      <c r="D197" s="61">
        <f>D198</f>
        <v>0</v>
      </c>
      <c r="E197" s="61"/>
      <c r="F197" s="61"/>
      <c r="G197" s="61">
        <f t="shared" ref="G197:I197" si="68">G198</f>
        <v>0</v>
      </c>
      <c r="H197" s="61"/>
      <c r="I197" s="61">
        <f t="shared" si="68"/>
        <v>0</v>
      </c>
      <c r="J197" s="33"/>
      <c r="K197" s="35"/>
      <c r="L197" s="40"/>
      <c r="M197" s="40"/>
      <c r="N197" s="40"/>
      <c r="O197" s="40"/>
      <c r="P197" s="40"/>
    </row>
    <row r="198" spans="1:16" ht="26.25" hidden="1" customHeight="1" x14ac:dyDescent="0.3">
      <c r="A198" s="53" t="s">
        <v>321</v>
      </c>
      <c r="B198" s="25" t="s">
        <v>322</v>
      </c>
      <c r="C198" s="85"/>
      <c r="D198" s="61"/>
      <c r="E198" s="61"/>
      <c r="F198" s="61"/>
      <c r="G198" s="61"/>
      <c r="H198" s="61"/>
      <c r="I198" s="61"/>
      <c r="J198" s="33"/>
      <c r="K198" s="35"/>
      <c r="L198" s="40"/>
      <c r="M198" s="40"/>
      <c r="N198" s="40"/>
      <c r="O198" s="40"/>
      <c r="P198" s="40"/>
    </row>
    <row r="199" spans="1:16" ht="26.25" hidden="1" customHeight="1" x14ac:dyDescent="0.3">
      <c r="A199" s="53" t="s">
        <v>323</v>
      </c>
      <c r="B199" s="25" t="s">
        <v>324</v>
      </c>
      <c r="C199" s="85"/>
      <c r="D199" s="61">
        <f>D200</f>
        <v>0</v>
      </c>
      <c r="E199" s="61"/>
      <c r="F199" s="61"/>
      <c r="G199" s="61">
        <f t="shared" ref="G199:I199" si="69">G200</f>
        <v>0</v>
      </c>
      <c r="H199" s="61"/>
      <c r="I199" s="61">
        <f t="shared" si="69"/>
        <v>0</v>
      </c>
      <c r="J199" s="33"/>
      <c r="K199" s="35"/>
      <c r="L199" s="40"/>
      <c r="M199" s="40"/>
      <c r="N199" s="40"/>
      <c r="O199" s="40"/>
      <c r="P199" s="40"/>
    </row>
    <row r="200" spans="1:16" ht="26.25" hidden="1" customHeight="1" x14ac:dyDescent="0.3">
      <c r="A200" s="53" t="s">
        <v>325</v>
      </c>
      <c r="B200" s="25" t="s">
        <v>326</v>
      </c>
      <c r="C200" s="85"/>
      <c r="D200" s="61"/>
      <c r="E200" s="61"/>
      <c r="F200" s="61"/>
      <c r="G200" s="61"/>
      <c r="H200" s="61"/>
      <c r="I200" s="61"/>
      <c r="J200" s="33"/>
      <c r="K200" s="35"/>
      <c r="L200" s="40"/>
      <c r="M200" s="40"/>
      <c r="N200" s="40"/>
      <c r="O200" s="40"/>
      <c r="P200" s="40"/>
    </row>
    <row r="201" spans="1:16" ht="52.5" hidden="1" customHeight="1" x14ac:dyDescent="0.3">
      <c r="A201" s="56" t="s">
        <v>327</v>
      </c>
      <c r="B201" s="57" t="s">
        <v>328</v>
      </c>
      <c r="C201" s="57"/>
      <c r="D201" s="61">
        <f>D202+D203+D204</f>
        <v>0</v>
      </c>
      <c r="E201" s="61"/>
      <c r="F201" s="61"/>
      <c r="G201" s="61">
        <f t="shared" ref="G201:I201" si="70">G202+G203+G204</f>
        <v>0</v>
      </c>
      <c r="H201" s="61"/>
      <c r="I201" s="61">
        <f t="shared" si="70"/>
        <v>0</v>
      </c>
      <c r="J201" s="33"/>
      <c r="K201" s="35"/>
      <c r="L201" s="40"/>
      <c r="M201" s="40"/>
      <c r="N201" s="40"/>
      <c r="O201" s="40"/>
      <c r="P201" s="40"/>
    </row>
    <row r="202" spans="1:16" ht="45.75" hidden="1" customHeight="1" x14ac:dyDescent="0.3">
      <c r="A202" s="53" t="s">
        <v>329</v>
      </c>
      <c r="B202" s="25" t="s">
        <v>330</v>
      </c>
      <c r="C202" s="85"/>
      <c r="D202" s="61"/>
      <c r="E202" s="61"/>
      <c r="F202" s="61"/>
      <c r="G202" s="61"/>
      <c r="H202" s="61"/>
      <c r="I202" s="61"/>
      <c r="J202" s="33"/>
      <c r="K202" s="35"/>
      <c r="L202" s="40"/>
      <c r="M202" s="40"/>
      <c r="N202" s="40"/>
      <c r="O202" s="40"/>
      <c r="P202" s="40"/>
    </row>
    <row r="203" spans="1:16" ht="48" hidden="1" customHeight="1" x14ac:dyDescent="0.3">
      <c r="A203" s="53" t="s">
        <v>331</v>
      </c>
      <c r="B203" s="25" t="s">
        <v>332</v>
      </c>
      <c r="C203" s="85"/>
      <c r="D203" s="61"/>
      <c r="E203" s="61"/>
      <c r="F203" s="61"/>
      <c r="G203" s="61"/>
      <c r="H203" s="61"/>
      <c r="I203" s="61"/>
      <c r="J203" s="33"/>
      <c r="K203" s="35"/>
      <c r="L203" s="40"/>
      <c r="M203" s="40"/>
      <c r="N203" s="40"/>
      <c r="O203" s="40"/>
      <c r="P203" s="40"/>
    </row>
    <row r="204" spans="1:16" ht="50.25" hidden="1" customHeight="1" x14ac:dyDescent="0.3">
      <c r="A204" s="53" t="s">
        <v>333</v>
      </c>
      <c r="B204" s="25" t="s">
        <v>334</v>
      </c>
      <c r="C204" s="85"/>
      <c r="D204" s="61">
        <f>D205</f>
        <v>0</v>
      </c>
      <c r="E204" s="61"/>
      <c r="F204" s="61"/>
      <c r="G204" s="61">
        <f t="shared" ref="G204:I204" si="71">G205</f>
        <v>0</v>
      </c>
      <c r="H204" s="61"/>
      <c r="I204" s="61">
        <f t="shared" si="71"/>
        <v>0</v>
      </c>
      <c r="J204" s="33"/>
      <c r="K204" s="35"/>
      <c r="L204" s="40"/>
      <c r="M204" s="40"/>
      <c r="N204" s="40"/>
      <c r="O204" s="40"/>
      <c r="P204" s="40"/>
    </row>
    <row r="205" spans="1:16" ht="69" hidden="1" customHeight="1" x14ac:dyDescent="0.3">
      <c r="A205" s="53" t="s">
        <v>335</v>
      </c>
      <c r="B205" s="25" t="s">
        <v>336</v>
      </c>
      <c r="C205" s="85"/>
      <c r="D205" s="61"/>
      <c r="E205" s="61"/>
      <c r="F205" s="61"/>
      <c r="G205" s="61"/>
      <c r="H205" s="61"/>
      <c r="I205" s="61"/>
      <c r="J205" s="33"/>
      <c r="K205" s="35"/>
      <c r="L205" s="40"/>
      <c r="M205" s="40"/>
      <c r="N205" s="40"/>
      <c r="O205" s="40"/>
      <c r="P205" s="40"/>
    </row>
    <row r="206" spans="1:16" ht="26.25" customHeight="1" x14ac:dyDescent="0.3">
      <c r="A206" s="66" t="s">
        <v>337</v>
      </c>
      <c r="B206" s="67" t="s">
        <v>338</v>
      </c>
      <c r="C206" s="67"/>
      <c r="D206" s="72">
        <f>D207+D396+D387</f>
        <v>842614.834531</v>
      </c>
      <c r="E206" s="72">
        <f>E207+E396+E387</f>
        <v>1460974.7</v>
      </c>
      <c r="F206" s="72"/>
      <c r="G206" s="72">
        <f>G207+G396+G387</f>
        <v>613049.5</v>
      </c>
      <c r="H206" s="72"/>
      <c r="I206" s="72">
        <f>I207+I396+I387</f>
        <v>573498</v>
      </c>
      <c r="J206" s="33"/>
      <c r="K206" s="35"/>
      <c r="L206" s="40"/>
      <c r="M206" s="40"/>
      <c r="N206" s="40"/>
      <c r="O206" s="40"/>
      <c r="P206" s="40"/>
    </row>
    <row r="207" spans="1:16" ht="38.25" customHeight="1" x14ac:dyDescent="0.3">
      <c r="A207" s="66" t="s">
        <v>339</v>
      </c>
      <c r="B207" s="67" t="s">
        <v>340</v>
      </c>
      <c r="C207" s="67"/>
      <c r="D207" s="72">
        <f>D208+D300+D215+D371</f>
        <v>742303.03453099995</v>
      </c>
      <c r="E207" s="72">
        <f>E208+E300+E215+E371</f>
        <v>1460974.7</v>
      </c>
      <c r="F207" s="72"/>
      <c r="G207" s="72">
        <f>G208+G300+G215+G371</f>
        <v>613049.5</v>
      </c>
      <c r="H207" s="72"/>
      <c r="I207" s="72">
        <f>I208+I300+I215+I371</f>
        <v>573498</v>
      </c>
      <c r="J207" s="33"/>
      <c r="K207" s="35"/>
      <c r="L207" s="40"/>
      <c r="M207" s="40"/>
      <c r="N207" s="40"/>
      <c r="O207" s="40"/>
      <c r="P207" s="40"/>
    </row>
    <row r="208" spans="1:16" ht="36.75" customHeight="1" x14ac:dyDescent="0.3">
      <c r="A208" s="66" t="s">
        <v>341</v>
      </c>
      <c r="B208" s="67" t="s">
        <v>342</v>
      </c>
      <c r="C208" s="67"/>
      <c r="D208" s="72">
        <f>D209+D211+D213</f>
        <v>251581</v>
      </c>
      <c r="E208" s="72">
        <f>E209+E211+E213</f>
        <v>304650</v>
      </c>
      <c r="F208" s="72"/>
      <c r="G208" s="72">
        <f t="shared" ref="G208" si="72">G209+G211+G213</f>
        <v>304650</v>
      </c>
      <c r="H208" s="72"/>
      <c r="I208" s="72">
        <f t="shared" ref="I208" si="73">I209+I211+I213</f>
        <v>304650</v>
      </c>
      <c r="J208" s="33"/>
      <c r="K208" s="35"/>
      <c r="L208" s="113">
        <f>G215+G300+G371</f>
        <v>308399.5</v>
      </c>
      <c r="M208" s="113">
        <f>I215+I300+I371</f>
        <v>268848</v>
      </c>
      <c r="N208" s="40"/>
      <c r="O208" s="40"/>
      <c r="P208" s="40"/>
    </row>
    <row r="209" spans="1:16" ht="24.75" customHeight="1" x14ac:dyDescent="0.3">
      <c r="A209" s="70" t="s">
        <v>343</v>
      </c>
      <c r="B209" s="73" t="s">
        <v>344</v>
      </c>
      <c r="C209" s="73"/>
      <c r="D209" s="74">
        <f>D210</f>
        <v>251581</v>
      </c>
      <c r="E209" s="74">
        <f t="shared" ref="E209:I209" si="74">E210</f>
        <v>304650</v>
      </c>
      <c r="F209" s="74"/>
      <c r="G209" s="74">
        <f t="shared" si="74"/>
        <v>304650</v>
      </c>
      <c r="H209" s="74"/>
      <c r="I209" s="74">
        <f t="shared" si="74"/>
        <v>304650</v>
      </c>
      <c r="J209" s="33"/>
      <c r="K209" s="35"/>
      <c r="L209" s="40"/>
      <c r="M209" s="40"/>
      <c r="N209" s="40"/>
      <c r="O209" s="40"/>
      <c r="P209" s="40"/>
    </row>
    <row r="210" spans="1:16" ht="54" customHeight="1" x14ac:dyDescent="0.3">
      <c r="A210" s="70" t="s">
        <v>345</v>
      </c>
      <c r="B210" s="73" t="s">
        <v>346</v>
      </c>
      <c r="C210" s="73"/>
      <c r="D210" s="74">
        <v>251581</v>
      </c>
      <c r="E210" s="74">
        <v>304650</v>
      </c>
      <c r="F210" s="74"/>
      <c r="G210" s="74">
        <v>304650</v>
      </c>
      <c r="H210" s="74"/>
      <c r="I210" s="74">
        <v>304650</v>
      </c>
      <c r="J210" s="33"/>
      <c r="K210" s="35"/>
      <c r="L210" s="40"/>
      <c r="M210" s="40"/>
      <c r="N210" s="40"/>
      <c r="O210" s="40"/>
      <c r="P210" s="40"/>
    </row>
    <row r="211" spans="1:16" ht="39.75" hidden="1" customHeight="1" x14ac:dyDescent="0.3">
      <c r="A211" s="14" t="s">
        <v>347</v>
      </c>
      <c r="B211" s="29" t="s">
        <v>348</v>
      </c>
      <c r="C211" s="80"/>
      <c r="D211" s="7">
        <f>D212</f>
        <v>0</v>
      </c>
      <c r="E211" s="7"/>
      <c r="F211" s="7"/>
      <c r="G211" s="7">
        <f t="shared" ref="G211:I211" si="75">G212</f>
        <v>0</v>
      </c>
      <c r="H211" s="7"/>
      <c r="I211" s="7">
        <f t="shared" si="75"/>
        <v>0</v>
      </c>
      <c r="J211" s="33"/>
      <c r="K211" s="35"/>
      <c r="L211" s="40"/>
      <c r="M211" s="40"/>
      <c r="N211" s="40"/>
      <c r="O211" s="40"/>
      <c r="P211" s="40"/>
    </row>
    <row r="212" spans="1:16" ht="42.75" hidden="1" customHeight="1" x14ac:dyDescent="0.3">
      <c r="A212" s="14" t="s">
        <v>349</v>
      </c>
      <c r="B212" s="29" t="s">
        <v>350</v>
      </c>
      <c r="C212" s="80"/>
      <c r="D212" s="7"/>
      <c r="E212" s="7"/>
      <c r="F212" s="7"/>
      <c r="G212" s="7"/>
      <c r="H212" s="7"/>
      <c r="I212" s="7"/>
      <c r="J212" s="33"/>
      <c r="K212" s="35"/>
      <c r="L212" s="40"/>
      <c r="M212" s="40"/>
      <c r="N212" s="40"/>
      <c r="O212" s="40"/>
      <c r="P212" s="40"/>
    </row>
    <row r="213" spans="1:16" ht="31.5" hidden="1" customHeight="1" x14ac:dyDescent="0.3">
      <c r="A213" s="14" t="s">
        <v>351</v>
      </c>
      <c r="B213" s="29" t="s">
        <v>352</v>
      </c>
      <c r="C213" s="80"/>
      <c r="D213" s="7">
        <f>D214</f>
        <v>0</v>
      </c>
      <c r="E213" s="7"/>
      <c r="F213" s="7"/>
      <c r="G213" s="7">
        <f t="shared" ref="G213:I213" si="76">G214</f>
        <v>0</v>
      </c>
      <c r="H213" s="7"/>
      <c r="I213" s="7">
        <f t="shared" si="76"/>
        <v>0</v>
      </c>
      <c r="J213" s="33"/>
      <c r="K213" s="35"/>
      <c r="L213" s="40"/>
      <c r="M213" s="40"/>
      <c r="N213" s="40"/>
      <c r="O213" s="40"/>
      <c r="P213" s="40"/>
    </row>
    <row r="214" spans="1:16" ht="19.5" hidden="1" customHeight="1" x14ac:dyDescent="0.3">
      <c r="A214" s="14" t="s">
        <v>353</v>
      </c>
      <c r="B214" s="29" t="s">
        <v>354</v>
      </c>
      <c r="C214" s="80"/>
      <c r="D214" s="7"/>
      <c r="E214" s="7"/>
      <c r="F214" s="7"/>
      <c r="G214" s="7"/>
      <c r="H214" s="7"/>
      <c r="I214" s="7"/>
      <c r="J214" s="33"/>
      <c r="K214" s="35"/>
      <c r="L214" s="40"/>
      <c r="M214" s="40"/>
      <c r="N214" s="40"/>
      <c r="O214" s="40"/>
      <c r="P214" s="40"/>
    </row>
    <row r="215" spans="1:16" ht="39" customHeight="1" x14ac:dyDescent="0.3">
      <c r="A215" s="12" t="s">
        <v>355</v>
      </c>
      <c r="B215" s="30" t="s">
        <v>356</v>
      </c>
      <c r="C215" s="77"/>
      <c r="D215" s="5">
        <f>D216+D218+D220+D226+D228+D230+D238+D242+D222+D232+D234+D240+D224</f>
        <v>216804.334531</v>
      </c>
      <c r="E215" s="5">
        <f>E216+E218+E220+E226+E228+E230+E236+E238+E242+E222+E232+E234+E240+E224</f>
        <v>870017.79999999993</v>
      </c>
      <c r="F215" s="5">
        <f>F216+F218+F220+F226+F228+F230+F238+F242+F222+F232+F234+F240+F224</f>
        <v>86341.892755214052</v>
      </c>
      <c r="G215" s="5">
        <f t="shared" ref="G215:I215" si="77">G216+G218+G220+G226+G228+G230+G236+G238+G242+G222+G232+G234+G240+G224</f>
        <v>30524.399999999998</v>
      </c>
      <c r="H215" s="5">
        <f t="shared" si="77"/>
        <v>2982.0763995609223</v>
      </c>
      <c r="I215" s="5">
        <f t="shared" si="77"/>
        <v>19864.800000000003</v>
      </c>
      <c r="J215" s="107">
        <f t="shared" ref="J215" si="78">J216+J218+J220+J226+J228+J230+J238+J242+J222+J232+J234+J240+J224</f>
        <v>1534.1997804610319</v>
      </c>
      <c r="K215" s="35"/>
      <c r="L215" s="40"/>
      <c r="M215" s="40"/>
      <c r="N215" s="40"/>
      <c r="O215" s="40"/>
      <c r="P215" s="40"/>
    </row>
    <row r="216" spans="1:16" ht="63.75" customHeight="1" x14ac:dyDescent="0.3">
      <c r="A216" s="16" t="s">
        <v>357</v>
      </c>
      <c r="B216" s="29" t="s">
        <v>358</v>
      </c>
      <c r="C216" s="76"/>
      <c r="D216" s="7">
        <f>D217</f>
        <v>800</v>
      </c>
      <c r="E216" s="7">
        <f t="shared" ref="E216:I216" si="79">E217</f>
        <v>1000</v>
      </c>
      <c r="F216" s="7"/>
      <c r="G216" s="7">
        <f t="shared" si="79"/>
        <v>0</v>
      </c>
      <c r="H216" s="7"/>
      <c r="I216" s="7">
        <f t="shared" si="79"/>
        <v>0</v>
      </c>
      <c r="J216" s="33"/>
      <c r="K216" s="35"/>
      <c r="L216" s="40"/>
      <c r="M216" s="40"/>
      <c r="N216" s="40"/>
      <c r="O216" s="40"/>
      <c r="P216" s="40"/>
    </row>
    <row r="217" spans="1:16" ht="70.5" customHeight="1" x14ac:dyDescent="0.3">
      <c r="A217" s="14" t="s">
        <v>359</v>
      </c>
      <c r="B217" s="29" t="s">
        <v>579</v>
      </c>
      <c r="C217" s="76"/>
      <c r="D217" s="7">
        <v>800</v>
      </c>
      <c r="E217" s="7">
        <v>1000</v>
      </c>
      <c r="F217" s="7"/>
      <c r="G217" s="7">
        <v>0</v>
      </c>
      <c r="H217" s="7">
        <f t="shared" ref="H217:H218" si="80">G217*8.9/91.1</f>
        <v>0</v>
      </c>
      <c r="I217" s="7">
        <v>0</v>
      </c>
      <c r="J217" s="33"/>
      <c r="K217" s="35"/>
      <c r="L217" s="40"/>
      <c r="M217" s="40"/>
      <c r="N217" s="40"/>
      <c r="O217" s="40"/>
      <c r="P217" s="40"/>
    </row>
    <row r="218" spans="1:16" ht="61.5" customHeight="1" x14ac:dyDescent="0.3">
      <c r="A218" s="14" t="s">
        <v>360</v>
      </c>
      <c r="B218" s="29" t="s">
        <v>361</v>
      </c>
      <c r="C218" s="76"/>
      <c r="D218" s="7">
        <f>D219</f>
        <v>925.8</v>
      </c>
      <c r="E218" s="7">
        <f t="shared" ref="E218:I218" si="81">E219</f>
        <v>2829.1</v>
      </c>
      <c r="F218" s="7"/>
      <c r="G218" s="7">
        <f t="shared" si="81"/>
        <v>4400.1000000000004</v>
      </c>
      <c r="H218" s="7">
        <f t="shared" si="80"/>
        <v>429.86706915477509</v>
      </c>
      <c r="I218" s="7">
        <f t="shared" si="81"/>
        <v>4160.8</v>
      </c>
      <c r="J218" s="33"/>
      <c r="K218" s="35"/>
      <c r="L218" s="40"/>
      <c r="M218" s="40"/>
      <c r="N218" s="40"/>
      <c r="O218" s="40"/>
      <c r="P218" s="40"/>
    </row>
    <row r="219" spans="1:16" ht="81.75" customHeight="1" x14ac:dyDescent="0.3">
      <c r="A219" s="14" t="s">
        <v>362</v>
      </c>
      <c r="B219" s="29" t="s">
        <v>580</v>
      </c>
      <c r="C219" s="76">
        <v>50970</v>
      </c>
      <c r="D219" s="7">
        <v>925.8</v>
      </c>
      <c r="E219" s="7">
        <v>2829.1</v>
      </c>
      <c r="F219" s="7">
        <f>E219*8.9/91.1</f>
        <v>276.3884742041713</v>
      </c>
      <c r="G219" s="7">
        <v>4400.1000000000004</v>
      </c>
      <c r="H219" s="7">
        <f>G219*8.9/91.1</f>
        <v>429.86706915477509</v>
      </c>
      <c r="I219" s="7">
        <v>4160.8</v>
      </c>
      <c r="J219" s="104">
        <f>I219*8.9/91.1</f>
        <v>406.48869374313944</v>
      </c>
      <c r="K219" s="35"/>
      <c r="L219" s="40"/>
      <c r="M219" s="40"/>
      <c r="N219" s="40"/>
      <c r="O219" s="40"/>
      <c r="P219" s="40"/>
    </row>
    <row r="220" spans="1:16" ht="86.25" customHeight="1" x14ac:dyDescent="0.3">
      <c r="A220" s="16" t="s">
        <v>363</v>
      </c>
      <c r="B220" s="75" t="s">
        <v>581</v>
      </c>
      <c r="C220" s="92"/>
      <c r="D220" s="7">
        <f>D221</f>
        <v>2000</v>
      </c>
      <c r="E220" s="7">
        <f>E221</f>
        <v>1569</v>
      </c>
      <c r="F220" s="7">
        <f t="shared" ref="F220:F284" si="82">E220*8.9/91.1</f>
        <v>153.28320526893526</v>
      </c>
      <c r="G220" s="7">
        <f t="shared" ref="G220:I220" si="83">G221</f>
        <v>1568.6</v>
      </c>
      <c r="H220" s="7">
        <f t="shared" ref="H220:H284" si="84">G220*8.9/91.1</f>
        <v>153.24412733260152</v>
      </c>
      <c r="I220" s="7">
        <f t="shared" si="83"/>
        <v>1500</v>
      </c>
      <c r="J220" s="104">
        <f t="shared" ref="J220:J284" si="85">I220*8.9/91.1</f>
        <v>146.54226125137214</v>
      </c>
      <c r="K220" s="35"/>
      <c r="L220" s="40"/>
      <c r="M220" s="40"/>
      <c r="N220" s="40"/>
      <c r="O220" s="40"/>
      <c r="P220" s="40"/>
    </row>
    <row r="221" spans="1:16" ht="91.5" customHeight="1" x14ac:dyDescent="0.3">
      <c r="A221" s="16" t="s">
        <v>364</v>
      </c>
      <c r="B221" s="91" t="s">
        <v>582</v>
      </c>
      <c r="C221" s="76" t="s">
        <v>622</v>
      </c>
      <c r="D221" s="7">
        <v>2000</v>
      </c>
      <c r="E221" s="7">
        <v>1569</v>
      </c>
      <c r="F221" s="7">
        <f t="shared" si="82"/>
        <v>153.28320526893526</v>
      </c>
      <c r="G221" s="7">
        <v>1568.6</v>
      </c>
      <c r="H221" s="7">
        <f t="shared" si="84"/>
        <v>153.24412733260152</v>
      </c>
      <c r="I221" s="7">
        <f>10500-9000</f>
        <v>1500</v>
      </c>
      <c r="J221" s="104">
        <f t="shared" si="85"/>
        <v>146.54226125137214</v>
      </c>
      <c r="K221" s="35"/>
      <c r="L221" s="40"/>
      <c r="M221" s="40"/>
      <c r="N221" s="40"/>
      <c r="O221" s="40"/>
      <c r="P221" s="40"/>
    </row>
    <row r="222" spans="1:16" ht="57" customHeight="1" x14ac:dyDescent="0.3">
      <c r="A222" s="14" t="s">
        <v>365</v>
      </c>
      <c r="B222" s="75" t="s">
        <v>583</v>
      </c>
      <c r="C222" s="92"/>
      <c r="D222" s="7">
        <f>D223</f>
        <v>2132.6999999999998</v>
      </c>
      <c r="E222" s="7">
        <f t="shared" ref="E222:I222" si="86">E223</f>
        <v>1677.8</v>
      </c>
      <c r="F222" s="7">
        <f t="shared" si="82"/>
        <v>163.91240395170144</v>
      </c>
      <c r="G222" s="7">
        <f t="shared" si="86"/>
        <v>1122.5999999999999</v>
      </c>
      <c r="H222" s="7">
        <f t="shared" si="84"/>
        <v>109.6722283205269</v>
      </c>
      <c r="I222" s="7">
        <f t="shared" si="86"/>
        <v>0</v>
      </c>
      <c r="J222" s="104">
        <f t="shared" si="85"/>
        <v>0</v>
      </c>
      <c r="K222" s="35"/>
      <c r="L222" s="40"/>
      <c r="M222" s="40"/>
      <c r="N222" s="40"/>
      <c r="O222" s="40"/>
      <c r="P222" s="40"/>
    </row>
    <row r="223" spans="1:16" ht="62.25" customHeight="1" x14ac:dyDescent="0.3">
      <c r="A223" s="14" t="s">
        <v>366</v>
      </c>
      <c r="B223" s="29" t="s">
        <v>584</v>
      </c>
      <c r="C223" s="76">
        <v>52100</v>
      </c>
      <c r="D223" s="7">
        <v>2132.6999999999998</v>
      </c>
      <c r="E223" s="7">
        <v>1677.8</v>
      </c>
      <c r="F223" s="7">
        <f t="shared" si="82"/>
        <v>163.91240395170144</v>
      </c>
      <c r="G223" s="7">
        <v>1122.5999999999999</v>
      </c>
      <c r="H223" s="7">
        <f t="shared" si="84"/>
        <v>109.6722283205269</v>
      </c>
      <c r="I223" s="7">
        <v>0</v>
      </c>
      <c r="J223" s="104">
        <f t="shared" si="85"/>
        <v>0</v>
      </c>
      <c r="K223" s="35"/>
      <c r="L223" s="40"/>
      <c r="M223" s="40"/>
      <c r="N223" s="40"/>
      <c r="O223" s="40"/>
      <c r="P223" s="40"/>
    </row>
    <row r="224" spans="1:16" ht="63" hidden="1" customHeight="1" x14ac:dyDescent="0.3">
      <c r="A224" s="14" t="s">
        <v>511</v>
      </c>
      <c r="B224" s="29" t="s">
        <v>512</v>
      </c>
      <c r="C224" s="76"/>
      <c r="D224" s="7">
        <f>D225</f>
        <v>68774.899999999994</v>
      </c>
      <c r="E224" s="7">
        <f t="shared" ref="E224:I224" si="87">E225</f>
        <v>0</v>
      </c>
      <c r="F224" s="7">
        <f t="shared" si="82"/>
        <v>0</v>
      </c>
      <c r="G224" s="7">
        <f t="shared" si="87"/>
        <v>0</v>
      </c>
      <c r="H224" s="7">
        <f t="shared" si="84"/>
        <v>0</v>
      </c>
      <c r="I224" s="7">
        <f t="shared" si="87"/>
        <v>0</v>
      </c>
      <c r="J224" s="104">
        <f t="shared" si="85"/>
        <v>0</v>
      </c>
      <c r="K224" s="35"/>
      <c r="L224" s="40"/>
      <c r="M224" s="40"/>
      <c r="N224" s="40"/>
      <c r="O224" s="40"/>
      <c r="P224" s="40"/>
    </row>
    <row r="225" spans="1:16" ht="81" hidden="1" customHeight="1" x14ac:dyDescent="0.3">
      <c r="A225" s="14" t="s">
        <v>513</v>
      </c>
      <c r="B225" s="29" t="s">
        <v>514</v>
      </c>
      <c r="C225" s="76"/>
      <c r="D225" s="7">
        <v>68774.899999999994</v>
      </c>
      <c r="E225" s="7"/>
      <c r="F225" s="7">
        <f t="shared" si="82"/>
        <v>0</v>
      </c>
      <c r="G225" s="7"/>
      <c r="H225" s="7">
        <f t="shared" si="84"/>
        <v>0</v>
      </c>
      <c r="I225" s="7"/>
      <c r="J225" s="104">
        <f t="shared" si="85"/>
        <v>0</v>
      </c>
      <c r="K225" s="35"/>
      <c r="L225" s="40"/>
      <c r="M225" s="40"/>
      <c r="N225" s="40"/>
      <c r="O225" s="40"/>
      <c r="P225" s="40"/>
    </row>
    <row r="226" spans="1:16" ht="63" customHeight="1" x14ac:dyDescent="0.3">
      <c r="A226" s="16" t="s">
        <v>367</v>
      </c>
      <c r="B226" s="29" t="s">
        <v>585</v>
      </c>
      <c r="C226" s="76"/>
      <c r="D226" s="7">
        <f>D227</f>
        <v>6587.3</v>
      </c>
      <c r="E226" s="7">
        <f t="shared" ref="E226:I226" si="88">E227</f>
        <v>6735.5</v>
      </c>
      <c r="F226" s="7">
        <f t="shared" si="82"/>
        <v>658.023600439078</v>
      </c>
      <c r="G226" s="7">
        <f t="shared" si="88"/>
        <v>6395.8</v>
      </c>
      <c r="H226" s="7">
        <f t="shared" si="84"/>
        <v>624.83666300768391</v>
      </c>
      <c r="I226" s="7">
        <f t="shared" si="88"/>
        <v>6589.1</v>
      </c>
      <c r="J226" s="104">
        <f t="shared" si="85"/>
        <v>643.72107574094412</v>
      </c>
      <c r="K226" s="35"/>
      <c r="L226" s="40"/>
      <c r="M226" s="40"/>
      <c r="N226" s="40"/>
      <c r="O226" s="40"/>
      <c r="P226" s="40"/>
    </row>
    <row r="227" spans="1:16" ht="63" customHeight="1" x14ac:dyDescent="0.3">
      <c r="A227" s="14" t="s">
        <v>368</v>
      </c>
      <c r="B227" s="29" t="s">
        <v>369</v>
      </c>
      <c r="C227" s="76" t="s">
        <v>591</v>
      </c>
      <c r="D227" s="7">
        <v>6587.3</v>
      </c>
      <c r="E227" s="7">
        <v>6735.5</v>
      </c>
      <c r="F227" s="7">
        <f t="shared" si="82"/>
        <v>658.023600439078</v>
      </c>
      <c r="G227" s="7">
        <v>6395.8</v>
      </c>
      <c r="H227" s="7">
        <f t="shared" si="84"/>
        <v>624.83666300768391</v>
      </c>
      <c r="I227" s="7">
        <v>6589.1</v>
      </c>
      <c r="J227" s="104">
        <f t="shared" si="85"/>
        <v>643.72107574094412</v>
      </c>
      <c r="K227" s="35"/>
      <c r="L227" s="40"/>
      <c r="M227" s="40"/>
      <c r="N227" s="40"/>
      <c r="O227" s="40"/>
      <c r="P227" s="40"/>
    </row>
    <row r="228" spans="1:16" ht="63" hidden="1" customHeight="1" x14ac:dyDescent="0.3">
      <c r="A228" s="16" t="s">
        <v>370</v>
      </c>
      <c r="B228" s="29" t="s">
        <v>586</v>
      </c>
      <c r="C228" s="76"/>
      <c r="D228" s="7">
        <f>D229</f>
        <v>1505.3</v>
      </c>
      <c r="E228" s="7">
        <f t="shared" ref="E228:I228" si="89">E229</f>
        <v>0</v>
      </c>
      <c r="F228" s="7">
        <f t="shared" si="82"/>
        <v>0</v>
      </c>
      <c r="G228" s="7">
        <f t="shared" si="89"/>
        <v>0</v>
      </c>
      <c r="H228" s="7">
        <f t="shared" si="84"/>
        <v>0</v>
      </c>
      <c r="I228" s="7">
        <f t="shared" si="89"/>
        <v>0</v>
      </c>
      <c r="J228" s="104">
        <f t="shared" si="85"/>
        <v>0</v>
      </c>
      <c r="K228" s="35"/>
      <c r="L228" s="40"/>
      <c r="M228" s="40"/>
      <c r="N228" s="40"/>
      <c r="O228" s="40"/>
      <c r="P228" s="40"/>
    </row>
    <row r="229" spans="1:16" ht="63" hidden="1" customHeight="1" x14ac:dyDescent="0.3">
      <c r="A229" s="16" t="s">
        <v>371</v>
      </c>
      <c r="B229" s="29" t="s">
        <v>587</v>
      </c>
      <c r="C229" s="76" t="s">
        <v>616</v>
      </c>
      <c r="D229" s="7">
        <v>1505.3</v>
      </c>
      <c r="E229" s="7">
        <v>0</v>
      </c>
      <c r="F229" s="7">
        <f t="shared" si="82"/>
        <v>0</v>
      </c>
      <c r="G229" s="7">
        <v>0</v>
      </c>
      <c r="H229" s="7">
        <f t="shared" si="84"/>
        <v>0</v>
      </c>
      <c r="I229" s="7">
        <v>0</v>
      </c>
      <c r="J229" s="104">
        <f t="shared" si="85"/>
        <v>0</v>
      </c>
      <c r="K229" s="35"/>
      <c r="L229" s="40"/>
      <c r="M229" s="40"/>
      <c r="N229" s="40"/>
      <c r="O229" s="40"/>
      <c r="P229" s="40"/>
    </row>
    <row r="230" spans="1:16" ht="43.5" hidden="1" customHeight="1" x14ac:dyDescent="0.3">
      <c r="A230" s="14" t="s">
        <v>372</v>
      </c>
      <c r="B230" s="29" t="s">
        <v>373</v>
      </c>
      <c r="C230" s="76"/>
      <c r="D230" s="7">
        <f>D231</f>
        <v>436.40000000000003</v>
      </c>
      <c r="E230" s="7">
        <v>0</v>
      </c>
      <c r="F230" s="7">
        <f t="shared" si="82"/>
        <v>0</v>
      </c>
      <c r="G230" s="7">
        <v>0</v>
      </c>
      <c r="H230" s="7">
        <f t="shared" si="84"/>
        <v>0</v>
      </c>
      <c r="I230" s="7">
        <v>0</v>
      </c>
      <c r="J230" s="104">
        <f t="shared" si="85"/>
        <v>0</v>
      </c>
      <c r="K230" s="35"/>
      <c r="L230" s="40"/>
      <c r="M230" s="40"/>
      <c r="N230" s="40"/>
      <c r="O230" s="40"/>
      <c r="P230" s="40"/>
    </row>
    <row r="231" spans="1:16" ht="39.75" hidden="1" customHeight="1" x14ac:dyDescent="0.3">
      <c r="A231" s="14" t="s">
        <v>374</v>
      </c>
      <c r="B231" s="29" t="s">
        <v>509</v>
      </c>
      <c r="C231" s="76"/>
      <c r="D231" s="7">
        <f>582.1-145.7</f>
        <v>436.40000000000003</v>
      </c>
      <c r="E231" s="7">
        <v>0</v>
      </c>
      <c r="F231" s="7">
        <f t="shared" si="82"/>
        <v>0</v>
      </c>
      <c r="G231" s="7">
        <v>0</v>
      </c>
      <c r="H231" s="7">
        <f t="shared" si="84"/>
        <v>0</v>
      </c>
      <c r="I231" s="7">
        <v>0</v>
      </c>
      <c r="J231" s="104">
        <f t="shared" si="85"/>
        <v>0</v>
      </c>
      <c r="K231" s="36"/>
      <c r="L231" s="40"/>
      <c r="M231" s="40"/>
      <c r="N231" s="40"/>
      <c r="O231" s="40"/>
      <c r="P231" s="40"/>
    </row>
    <row r="232" spans="1:16" ht="36.75" hidden="1" customHeight="1" x14ac:dyDescent="0.3">
      <c r="A232" s="14" t="s">
        <v>375</v>
      </c>
      <c r="B232" s="29" t="s">
        <v>376</v>
      </c>
      <c r="C232" s="76"/>
      <c r="D232" s="7">
        <f>D233</f>
        <v>760.5</v>
      </c>
      <c r="E232" s="7">
        <f>E233</f>
        <v>0</v>
      </c>
      <c r="F232" s="7">
        <f t="shared" si="82"/>
        <v>0</v>
      </c>
      <c r="G232" s="7">
        <f t="shared" ref="G232:I232" si="90">G233</f>
        <v>0</v>
      </c>
      <c r="H232" s="7">
        <f t="shared" si="84"/>
        <v>0</v>
      </c>
      <c r="I232" s="7">
        <f t="shared" si="90"/>
        <v>0</v>
      </c>
      <c r="J232" s="104">
        <f t="shared" si="85"/>
        <v>0</v>
      </c>
      <c r="K232" s="35"/>
      <c r="L232" s="40"/>
      <c r="M232" s="40"/>
      <c r="N232" s="40"/>
      <c r="O232" s="40"/>
      <c r="P232" s="40"/>
    </row>
    <row r="233" spans="1:16" ht="31.5" hidden="1" customHeight="1" x14ac:dyDescent="0.3">
      <c r="A233" s="14" t="s">
        <v>377</v>
      </c>
      <c r="B233" s="29" t="s">
        <v>588</v>
      </c>
      <c r="C233" s="76"/>
      <c r="D233" s="7">
        <f>760.5</f>
        <v>760.5</v>
      </c>
      <c r="E233" s="7"/>
      <c r="F233" s="7">
        <f t="shared" si="82"/>
        <v>0</v>
      </c>
      <c r="G233" s="7"/>
      <c r="H233" s="7">
        <f t="shared" si="84"/>
        <v>0</v>
      </c>
      <c r="I233" s="7"/>
      <c r="J233" s="104">
        <f t="shared" si="85"/>
        <v>0</v>
      </c>
      <c r="K233" s="35"/>
      <c r="L233" s="40"/>
      <c r="M233" s="40"/>
      <c r="N233" s="40"/>
      <c r="O233" s="40"/>
      <c r="P233" s="40"/>
    </row>
    <row r="234" spans="1:16" ht="23.25" customHeight="1" x14ac:dyDescent="0.3">
      <c r="A234" s="16" t="s">
        <v>378</v>
      </c>
      <c r="B234" s="29" t="s">
        <v>589</v>
      </c>
      <c r="C234" s="76"/>
      <c r="D234" s="7">
        <f>D235</f>
        <v>6109.9</v>
      </c>
      <c r="E234" s="7">
        <f t="shared" ref="E234:I234" si="91">E235</f>
        <v>85.2</v>
      </c>
      <c r="F234" s="7">
        <f t="shared" si="82"/>
        <v>8.3236004390779375</v>
      </c>
      <c r="G234" s="7">
        <f t="shared" si="91"/>
        <v>0</v>
      </c>
      <c r="H234" s="7">
        <f t="shared" si="84"/>
        <v>0</v>
      </c>
      <c r="I234" s="7">
        <f t="shared" si="91"/>
        <v>0</v>
      </c>
      <c r="J234" s="104">
        <f t="shared" si="85"/>
        <v>0</v>
      </c>
      <c r="K234" s="35"/>
      <c r="L234" s="40"/>
      <c r="M234" s="40"/>
      <c r="N234" s="40"/>
      <c r="O234" s="40"/>
      <c r="P234" s="40"/>
    </row>
    <row r="235" spans="1:16" ht="35.25" customHeight="1" x14ac:dyDescent="0.3">
      <c r="A235" s="16" t="s">
        <v>379</v>
      </c>
      <c r="B235" s="29" t="s">
        <v>590</v>
      </c>
      <c r="C235" s="76">
        <v>55190</v>
      </c>
      <c r="D235" s="7">
        <f>6000+109.9</f>
        <v>6109.9</v>
      </c>
      <c r="E235" s="7">
        <v>85.2</v>
      </c>
      <c r="F235" s="7">
        <f t="shared" si="82"/>
        <v>8.3236004390779375</v>
      </c>
      <c r="G235" s="7">
        <v>0</v>
      </c>
      <c r="H235" s="7">
        <f t="shared" si="84"/>
        <v>0</v>
      </c>
      <c r="I235" s="7">
        <v>0</v>
      </c>
      <c r="J235" s="104">
        <f t="shared" si="85"/>
        <v>0</v>
      </c>
      <c r="K235" s="35"/>
      <c r="L235" s="40"/>
      <c r="M235" s="40"/>
      <c r="N235" s="40"/>
      <c r="O235" s="40"/>
      <c r="P235" s="40"/>
    </row>
    <row r="236" spans="1:16" s="78" customFormat="1" ht="35.25" customHeight="1" x14ac:dyDescent="0.3">
      <c r="A236" s="69" t="s">
        <v>647</v>
      </c>
      <c r="B236" s="80" t="s">
        <v>648</v>
      </c>
      <c r="C236" s="76"/>
      <c r="D236" s="7"/>
      <c r="E236" s="7">
        <f>E237</f>
        <v>25000</v>
      </c>
      <c r="F236" s="7"/>
      <c r="G236" s="7">
        <f t="shared" ref="G236:I236" si="92">G237</f>
        <v>0</v>
      </c>
      <c r="H236" s="7">
        <f t="shared" si="92"/>
        <v>0</v>
      </c>
      <c r="I236" s="7">
        <f t="shared" si="92"/>
        <v>0</v>
      </c>
      <c r="J236" s="104"/>
      <c r="K236" s="35"/>
      <c r="L236" s="40"/>
      <c r="M236" s="40"/>
      <c r="N236" s="40"/>
      <c r="O236" s="40"/>
      <c r="P236" s="40"/>
    </row>
    <row r="237" spans="1:16" s="78" customFormat="1" ht="36" customHeight="1" x14ac:dyDescent="0.3">
      <c r="A237" s="69" t="s">
        <v>646</v>
      </c>
      <c r="B237" s="99" t="s">
        <v>614</v>
      </c>
      <c r="C237" s="100" t="s">
        <v>615</v>
      </c>
      <c r="D237" s="101"/>
      <c r="E237" s="102">
        <v>25000</v>
      </c>
      <c r="F237" s="7">
        <f t="shared" ref="F237" si="93">E237*8.9/91.1</f>
        <v>2442.371020856202</v>
      </c>
      <c r="G237" s="102"/>
      <c r="H237" s="7">
        <f t="shared" ref="H237" si="94">G237*8.9/91.1</f>
        <v>0</v>
      </c>
      <c r="I237" s="102"/>
      <c r="J237" s="104">
        <f t="shared" ref="J237" si="95">I237*8.9/91.1</f>
        <v>0</v>
      </c>
      <c r="K237" s="37"/>
      <c r="L237" s="40"/>
      <c r="M237" s="40"/>
      <c r="N237" s="40"/>
      <c r="O237" s="40"/>
      <c r="P237" s="40"/>
    </row>
    <row r="238" spans="1:16" ht="59.25" customHeight="1" x14ac:dyDescent="0.3">
      <c r="A238" s="14" t="s">
        <v>380</v>
      </c>
      <c r="B238" s="29" t="s">
        <v>381</v>
      </c>
      <c r="C238" s="76"/>
      <c r="D238" s="7">
        <f>D239</f>
        <v>0</v>
      </c>
      <c r="E238" s="7">
        <f t="shared" ref="E238:J238" si="96">E239</f>
        <v>7421.1</v>
      </c>
      <c r="F238" s="7">
        <f t="shared" si="96"/>
        <v>725.00318331503854</v>
      </c>
      <c r="G238" s="7">
        <f t="shared" si="96"/>
        <v>0</v>
      </c>
      <c r="H238" s="7">
        <f t="shared" si="96"/>
        <v>0</v>
      </c>
      <c r="I238" s="7">
        <f t="shared" si="96"/>
        <v>0</v>
      </c>
      <c r="J238" s="104">
        <f t="shared" si="96"/>
        <v>0</v>
      </c>
      <c r="K238" s="35"/>
      <c r="L238" s="40"/>
      <c r="M238" s="40"/>
      <c r="N238" s="40"/>
      <c r="O238" s="40"/>
      <c r="P238" s="40"/>
    </row>
    <row r="239" spans="1:16" ht="70.5" customHeight="1" x14ac:dyDescent="0.3">
      <c r="A239" s="14" t="s">
        <v>382</v>
      </c>
      <c r="B239" s="29" t="s">
        <v>630</v>
      </c>
      <c r="C239" s="100" t="s">
        <v>619</v>
      </c>
      <c r="D239" s="7"/>
      <c r="E239" s="7">
        <v>7421.1</v>
      </c>
      <c r="F239" s="7">
        <f t="shared" si="82"/>
        <v>725.00318331503854</v>
      </c>
      <c r="G239" s="7"/>
      <c r="H239" s="7">
        <f t="shared" si="84"/>
        <v>0</v>
      </c>
      <c r="I239" s="7"/>
      <c r="J239" s="104">
        <f t="shared" si="85"/>
        <v>0</v>
      </c>
      <c r="K239" s="35"/>
      <c r="L239" s="40"/>
      <c r="M239" s="40"/>
      <c r="N239" s="40"/>
      <c r="O239" s="40"/>
      <c r="P239" s="40"/>
    </row>
    <row r="240" spans="1:16" ht="41.25" hidden="1" customHeight="1" x14ac:dyDescent="0.3">
      <c r="A240" s="2" t="s">
        <v>383</v>
      </c>
      <c r="B240" s="27" t="s">
        <v>384</v>
      </c>
      <c r="C240" s="87"/>
      <c r="D240" s="8">
        <f>D241</f>
        <v>371.7</v>
      </c>
      <c r="E240" s="8">
        <f t="shared" ref="E240:I240" si="97">E241</f>
        <v>0</v>
      </c>
      <c r="F240" s="7">
        <f t="shared" si="82"/>
        <v>0</v>
      </c>
      <c r="G240" s="8">
        <f t="shared" si="97"/>
        <v>0</v>
      </c>
      <c r="H240" s="7">
        <f t="shared" si="84"/>
        <v>0</v>
      </c>
      <c r="I240" s="8">
        <f t="shared" si="97"/>
        <v>0</v>
      </c>
      <c r="J240" s="104">
        <f t="shared" si="85"/>
        <v>0</v>
      </c>
      <c r="K240" s="35"/>
      <c r="L240" s="40"/>
      <c r="M240" s="40"/>
      <c r="N240" s="40"/>
      <c r="O240" s="40"/>
      <c r="P240" s="40"/>
    </row>
    <row r="241" spans="1:16" ht="35.25" hidden="1" customHeight="1" x14ac:dyDescent="0.3">
      <c r="A241" s="2" t="s">
        <v>385</v>
      </c>
      <c r="B241" s="27" t="s">
        <v>386</v>
      </c>
      <c r="C241" s="87" t="s">
        <v>592</v>
      </c>
      <c r="D241" s="8">
        <v>371.7</v>
      </c>
      <c r="E241" s="8">
        <v>0</v>
      </c>
      <c r="F241" s="7">
        <f t="shared" si="82"/>
        <v>0</v>
      </c>
      <c r="G241" s="8">
        <v>0</v>
      </c>
      <c r="H241" s="7">
        <f t="shared" si="84"/>
        <v>0</v>
      </c>
      <c r="I241" s="8">
        <v>0</v>
      </c>
      <c r="J241" s="104">
        <f t="shared" si="85"/>
        <v>0</v>
      </c>
      <c r="K241" s="35"/>
      <c r="L241" s="40"/>
      <c r="M241" s="40"/>
      <c r="N241" s="40"/>
      <c r="O241" s="40"/>
      <c r="P241" s="40"/>
    </row>
    <row r="242" spans="1:16" ht="24.75" customHeight="1" x14ac:dyDescent="0.3">
      <c r="A242" s="14" t="s">
        <v>387</v>
      </c>
      <c r="B242" s="29" t="s">
        <v>388</v>
      </c>
      <c r="C242" s="76"/>
      <c r="D242" s="7">
        <f>D243</f>
        <v>126399.834531</v>
      </c>
      <c r="E242" s="7">
        <f t="shared" ref="E242:I242" si="98">E243</f>
        <v>823700.1</v>
      </c>
      <c r="F242" s="7">
        <f t="shared" si="98"/>
        <v>84633.346761800218</v>
      </c>
      <c r="G242" s="7">
        <f t="shared" si="98"/>
        <v>17037.3</v>
      </c>
      <c r="H242" s="7">
        <f t="shared" si="84"/>
        <v>1664.4563117453349</v>
      </c>
      <c r="I242" s="7">
        <f t="shared" si="98"/>
        <v>7614.9000000000005</v>
      </c>
      <c r="J242" s="104">
        <f t="shared" si="85"/>
        <v>743.93644346871577</v>
      </c>
      <c r="K242" s="35"/>
      <c r="L242" s="40"/>
      <c r="M242" s="40"/>
      <c r="N242" s="40"/>
      <c r="O242" s="40"/>
      <c r="P242" s="40"/>
    </row>
    <row r="243" spans="1:16" ht="24.75" customHeight="1" x14ac:dyDescent="0.3">
      <c r="A243" s="14" t="s">
        <v>389</v>
      </c>
      <c r="B243" s="29" t="s">
        <v>390</v>
      </c>
      <c r="C243" s="76"/>
      <c r="D243" s="7">
        <f>SUM(D244:D297)</f>
        <v>126399.834531</v>
      </c>
      <c r="E243" s="7">
        <f>SUM(E244:E297)</f>
        <v>823700.1</v>
      </c>
      <c r="F243" s="7">
        <f>SUM(F244:F297)</f>
        <v>84633.346761800218</v>
      </c>
      <c r="G243" s="7">
        <f>SUM(G244:G297)</f>
        <v>17037.3</v>
      </c>
      <c r="H243" s="7">
        <f t="shared" si="84"/>
        <v>1664.4563117453349</v>
      </c>
      <c r="I243" s="7">
        <f>SUM(I244:I297)</f>
        <v>7614.9000000000005</v>
      </c>
      <c r="J243" s="104">
        <f t="shared" si="85"/>
        <v>743.93644346871577</v>
      </c>
      <c r="K243" s="35"/>
      <c r="L243" s="40"/>
      <c r="M243" s="40"/>
      <c r="N243" s="40"/>
      <c r="O243" s="40"/>
      <c r="P243" s="40"/>
    </row>
    <row r="244" spans="1:16" ht="148.5" hidden="1" customHeight="1" x14ac:dyDescent="0.3">
      <c r="A244" s="16" t="s">
        <v>389</v>
      </c>
      <c r="B244" s="29" t="s">
        <v>391</v>
      </c>
      <c r="C244" s="76"/>
      <c r="D244" s="7"/>
      <c r="E244" s="7"/>
      <c r="F244" s="7">
        <f t="shared" si="82"/>
        <v>0</v>
      </c>
      <c r="G244" s="7"/>
      <c r="H244" s="7">
        <f t="shared" si="84"/>
        <v>0</v>
      </c>
      <c r="I244" s="7"/>
      <c r="J244" s="104">
        <f t="shared" si="85"/>
        <v>0</v>
      </c>
      <c r="K244" s="35"/>
      <c r="L244" s="40"/>
      <c r="M244" s="40"/>
      <c r="N244" s="40"/>
      <c r="O244" s="40"/>
      <c r="P244" s="40"/>
    </row>
    <row r="245" spans="1:16" ht="113.25" hidden="1" customHeight="1" x14ac:dyDescent="0.3">
      <c r="A245" s="16" t="s">
        <v>389</v>
      </c>
      <c r="B245" s="29" t="s">
        <v>392</v>
      </c>
      <c r="C245" s="76"/>
      <c r="D245" s="7"/>
      <c r="E245" s="7"/>
      <c r="F245" s="7">
        <f t="shared" si="82"/>
        <v>0</v>
      </c>
      <c r="G245" s="7"/>
      <c r="H245" s="7">
        <f t="shared" si="84"/>
        <v>0</v>
      </c>
      <c r="I245" s="7"/>
      <c r="J245" s="104">
        <f t="shared" si="85"/>
        <v>0</v>
      </c>
      <c r="K245" s="35"/>
      <c r="L245" s="40"/>
      <c r="M245" s="40"/>
      <c r="N245" s="40"/>
      <c r="O245" s="40"/>
      <c r="P245" s="40"/>
    </row>
    <row r="246" spans="1:16" s="78" customFormat="1" ht="157.5" hidden="1" customHeight="1" x14ac:dyDescent="0.3">
      <c r="A246" s="16" t="s">
        <v>399</v>
      </c>
      <c r="B246" s="29" t="s">
        <v>405</v>
      </c>
      <c r="C246" s="76"/>
      <c r="D246" s="7"/>
      <c r="E246" s="7"/>
      <c r="F246" s="7">
        <f t="shared" si="82"/>
        <v>0</v>
      </c>
      <c r="G246" s="7"/>
      <c r="H246" s="7">
        <f t="shared" si="84"/>
        <v>0</v>
      </c>
      <c r="I246" s="7"/>
      <c r="J246" s="104">
        <f t="shared" si="85"/>
        <v>0</v>
      </c>
      <c r="K246" s="35"/>
      <c r="L246" s="40"/>
      <c r="M246" s="40"/>
      <c r="N246" s="40"/>
      <c r="O246" s="40"/>
      <c r="P246" s="40"/>
    </row>
    <row r="247" spans="1:16" s="78" customFormat="1" ht="113.25" hidden="1" customHeight="1" x14ac:dyDescent="0.3">
      <c r="A247" s="16" t="s">
        <v>399</v>
      </c>
      <c r="B247" s="29" t="s">
        <v>406</v>
      </c>
      <c r="C247" s="76"/>
      <c r="D247" s="7"/>
      <c r="E247" s="7"/>
      <c r="F247" s="7">
        <f t="shared" si="82"/>
        <v>0</v>
      </c>
      <c r="G247" s="7"/>
      <c r="H247" s="7">
        <f t="shared" si="84"/>
        <v>0</v>
      </c>
      <c r="I247" s="7"/>
      <c r="J247" s="104">
        <f t="shared" si="85"/>
        <v>0</v>
      </c>
      <c r="K247" s="35"/>
      <c r="L247" s="40"/>
      <c r="M247" s="40"/>
      <c r="N247" s="40"/>
      <c r="O247" s="40"/>
      <c r="P247" s="40"/>
    </row>
    <row r="248" spans="1:16" s="78" customFormat="1" ht="113.25" hidden="1" customHeight="1" x14ac:dyDescent="0.3">
      <c r="A248" s="16" t="s">
        <v>389</v>
      </c>
      <c r="B248" s="29" t="s">
        <v>398</v>
      </c>
      <c r="C248" s="76"/>
      <c r="D248" s="7"/>
      <c r="E248" s="7"/>
      <c r="F248" s="7">
        <f t="shared" si="82"/>
        <v>0</v>
      </c>
      <c r="G248" s="7"/>
      <c r="H248" s="7">
        <f t="shared" si="84"/>
        <v>0</v>
      </c>
      <c r="I248" s="7"/>
      <c r="J248" s="104">
        <f t="shared" si="85"/>
        <v>0</v>
      </c>
      <c r="K248" s="35"/>
      <c r="L248" s="40"/>
      <c r="M248" s="40"/>
      <c r="N248" s="40"/>
      <c r="O248" s="40"/>
      <c r="P248" s="40"/>
    </row>
    <row r="249" spans="1:16" s="78" customFormat="1" ht="144" hidden="1" customHeight="1" x14ac:dyDescent="0.3">
      <c r="A249" s="16" t="s">
        <v>399</v>
      </c>
      <c r="B249" s="29" t="s">
        <v>400</v>
      </c>
      <c r="C249" s="76"/>
      <c r="D249" s="7"/>
      <c r="E249" s="7"/>
      <c r="F249" s="7">
        <f t="shared" si="82"/>
        <v>0</v>
      </c>
      <c r="G249" s="7"/>
      <c r="H249" s="7">
        <f t="shared" si="84"/>
        <v>0</v>
      </c>
      <c r="I249" s="7"/>
      <c r="J249" s="104">
        <f t="shared" si="85"/>
        <v>0</v>
      </c>
      <c r="K249" s="35"/>
      <c r="L249" s="40"/>
      <c r="M249" s="40"/>
      <c r="N249" s="40"/>
      <c r="O249" s="40"/>
      <c r="P249" s="40"/>
    </row>
    <row r="250" spans="1:16" s="78" customFormat="1" ht="147" hidden="1" customHeight="1" x14ac:dyDescent="0.3">
      <c r="A250" s="16" t="s">
        <v>399</v>
      </c>
      <c r="B250" s="29" t="s">
        <v>401</v>
      </c>
      <c r="C250" s="76"/>
      <c r="D250" s="7"/>
      <c r="E250" s="7"/>
      <c r="F250" s="7">
        <f t="shared" si="82"/>
        <v>0</v>
      </c>
      <c r="G250" s="7"/>
      <c r="H250" s="7">
        <f t="shared" si="84"/>
        <v>0</v>
      </c>
      <c r="I250" s="7"/>
      <c r="J250" s="104">
        <f t="shared" si="85"/>
        <v>0</v>
      </c>
      <c r="K250" s="35"/>
      <c r="L250" s="40"/>
      <c r="M250" s="40"/>
      <c r="N250" s="40"/>
      <c r="O250" s="40"/>
      <c r="P250" s="40"/>
    </row>
    <row r="251" spans="1:16" s="78" customFormat="1" ht="113.25" hidden="1" customHeight="1" x14ac:dyDescent="0.3">
      <c r="A251" s="16"/>
      <c r="B251" s="79"/>
      <c r="C251" s="88"/>
      <c r="D251" s="7"/>
      <c r="E251" s="7"/>
      <c r="F251" s="7">
        <f t="shared" si="82"/>
        <v>0</v>
      </c>
      <c r="G251" s="7"/>
      <c r="H251" s="7">
        <f t="shared" si="84"/>
        <v>0</v>
      </c>
      <c r="I251" s="7"/>
      <c r="J251" s="104">
        <f t="shared" si="85"/>
        <v>0</v>
      </c>
      <c r="K251" s="35"/>
      <c r="L251" s="40"/>
      <c r="M251" s="40"/>
      <c r="N251" s="40"/>
      <c r="O251" s="40"/>
      <c r="P251" s="40"/>
    </row>
    <row r="252" spans="1:16" s="78" customFormat="1" ht="142.5" hidden="1" customHeight="1" x14ac:dyDescent="0.3">
      <c r="A252" s="16" t="s">
        <v>389</v>
      </c>
      <c r="B252" s="29" t="s">
        <v>408</v>
      </c>
      <c r="C252" s="76"/>
      <c r="D252" s="7"/>
      <c r="E252" s="7"/>
      <c r="F252" s="7">
        <f t="shared" si="82"/>
        <v>0</v>
      </c>
      <c r="G252" s="7"/>
      <c r="H252" s="7">
        <f t="shared" si="84"/>
        <v>0</v>
      </c>
      <c r="I252" s="7"/>
      <c r="J252" s="104">
        <f t="shared" si="85"/>
        <v>0</v>
      </c>
      <c r="K252" s="35"/>
      <c r="L252" s="40"/>
      <c r="M252" s="40"/>
      <c r="N252" s="40"/>
      <c r="O252" s="40"/>
      <c r="P252" s="40"/>
    </row>
    <row r="253" spans="1:16" s="78" customFormat="1" ht="113.25" hidden="1" customHeight="1" x14ac:dyDescent="0.3">
      <c r="A253" s="16" t="s">
        <v>399</v>
      </c>
      <c r="B253" s="29" t="s">
        <v>403</v>
      </c>
      <c r="C253" s="76"/>
      <c r="D253" s="7"/>
      <c r="E253" s="7"/>
      <c r="F253" s="7">
        <f t="shared" si="82"/>
        <v>0</v>
      </c>
      <c r="G253" s="7"/>
      <c r="H253" s="7">
        <f t="shared" si="84"/>
        <v>0</v>
      </c>
      <c r="I253" s="7"/>
      <c r="J253" s="104">
        <f t="shared" si="85"/>
        <v>0</v>
      </c>
      <c r="K253" s="35"/>
      <c r="L253" s="40"/>
      <c r="M253" s="40"/>
      <c r="N253" s="40"/>
      <c r="O253" s="40"/>
      <c r="P253" s="40"/>
    </row>
    <row r="254" spans="1:16" s="78" customFormat="1" ht="113.25" hidden="1" customHeight="1" x14ac:dyDescent="0.3">
      <c r="A254" s="16" t="s">
        <v>389</v>
      </c>
      <c r="B254" s="29" t="s">
        <v>411</v>
      </c>
      <c r="C254" s="76"/>
      <c r="D254" s="9"/>
      <c r="E254" s="9"/>
      <c r="F254" s="7">
        <f t="shared" si="82"/>
        <v>0</v>
      </c>
      <c r="G254" s="9"/>
      <c r="H254" s="7">
        <f t="shared" si="84"/>
        <v>0</v>
      </c>
      <c r="I254" s="9"/>
      <c r="J254" s="104">
        <f t="shared" si="85"/>
        <v>0</v>
      </c>
      <c r="K254" s="35"/>
      <c r="L254" s="40"/>
      <c r="M254" s="40"/>
      <c r="N254" s="40"/>
      <c r="O254" s="40"/>
      <c r="P254" s="40"/>
    </row>
    <row r="255" spans="1:16" s="78" customFormat="1" ht="113.25" hidden="1" customHeight="1" x14ac:dyDescent="0.3">
      <c r="A255" s="16" t="s">
        <v>399</v>
      </c>
      <c r="B255" s="29" t="s">
        <v>413</v>
      </c>
      <c r="C255" s="76"/>
      <c r="D255" s="7"/>
      <c r="E255" s="7"/>
      <c r="F255" s="7">
        <f t="shared" si="82"/>
        <v>0</v>
      </c>
      <c r="G255" s="7"/>
      <c r="H255" s="7">
        <f t="shared" si="84"/>
        <v>0</v>
      </c>
      <c r="I255" s="7"/>
      <c r="J255" s="104">
        <f t="shared" si="85"/>
        <v>0</v>
      </c>
      <c r="K255" s="35"/>
      <c r="L255" s="40"/>
      <c r="M255" s="40"/>
      <c r="N255" s="40"/>
      <c r="O255" s="40"/>
      <c r="P255" s="40"/>
    </row>
    <row r="256" spans="1:16" s="78" customFormat="1" ht="138.75" hidden="1" customHeight="1" x14ac:dyDescent="0.3">
      <c r="A256" s="16" t="s">
        <v>399</v>
      </c>
      <c r="B256" s="29" t="s">
        <v>414</v>
      </c>
      <c r="C256" s="76"/>
      <c r="D256" s="7"/>
      <c r="E256" s="7"/>
      <c r="F256" s="7">
        <f t="shared" si="82"/>
        <v>0</v>
      </c>
      <c r="G256" s="7"/>
      <c r="H256" s="7">
        <f t="shared" si="84"/>
        <v>0</v>
      </c>
      <c r="I256" s="7"/>
      <c r="J256" s="104">
        <f t="shared" si="85"/>
        <v>0</v>
      </c>
      <c r="K256" s="35"/>
      <c r="L256" s="40"/>
      <c r="M256" s="40"/>
      <c r="N256" s="40"/>
      <c r="O256" s="40"/>
      <c r="P256" s="40"/>
    </row>
    <row r="257" spans="1:16" s="78" customFormat="1" ht="38.25" hidden="1" x14ac:dyDescent="0.3">
      <c r="A257" s="16" t="s">
        <v>389</v>
      </c>
      <c r="B257" s="29" t="s">
        <v>418</v>
      </c>
      <c r="C257" s="76"/>
      <c r="D257" s="7"/>
      <c r="E257" s="7"/>
      <c r="F257" s="7">
        <f t="shared" si="82"/>
        <v>0</v>
      </c>
      <c r="G257" s="7"/>
      <c r="H257" s="7">
        <f t="shared" si="84"/>
        <v>0</v>
      </c>
      <c r="I257" s="7"/>
      <c r="J257" s="104">
        <f t="shared" si="85"/>
        <v>0</v>
      </c>
      <c r="K257" s="35"/>
      <c r="L257" s="40"/>
      <c r="M257" s="40"/>
      <c r="N257" s="40"/>
      <c r="O257" s="40"/>
      <c r="P257" s="40"/>
    </row>
    <row r="258" spans="1:16" s="78" customFormat="1" ht="178.5" hidden="1" x14ac:dyDescent="0.3">
      <c r="A258" s="16" t="s">
        <v>389</v>
      </c>
      <c r="B258" s="29" t="s">
        <v>415</v>
      </c>
      <c r="C258" s="76"/>
      <c r="D258" s="7"/>
      <c r="E258" s="7"/>
      <c r="F258" s="7">
        <f t="shared" si="82"/>
        <v>0</v>
      </c>
      <c r="G258" s="7"/>
      <c r="H258" s="7">
        <f t="shared" si="84"/>
        <v>0</v>
      </c>
      <c r="I258" s="7"/>
      <c r="J258" s="104">
        <f t="shared" si="85"/>
        <v>0</v>
      </c>
      <c r="K258" s="35"/>
      <c r="L258" s="40"/>
      <c r="M258" s="40"/>
      <c r="N258" s="40"/>
      <c r="O258" s="40"/>
      <c r="P258" s="40"/>
    </row>
    <row r="259" spans="1:16" s="78" customFormat="1" ht="89.25" hidden="1" x14ac:dyDescent="0.3">
      <c r="A259" s="16" t="s">
        <v>389</v>
      </c>
      <c r="B259" s="29" t="s">
        <v>416</v>
      </c>
      <c r="C259" s="76"/>
      <c r="D259" s="7"/>
      <c r="E259" s="7"/>
      <c r="F259" s="7">
        <f t="shared" si="82"/>
        <v>0</v>
      </c>
      <c r="G259" s="7"/>
      <c r="H259" s="7">
        <f t="shared" si="84"/>
        <v>0</v>
      </c>
      <c r="I259" s="7"/>
      <c r="J259" s="104">
        <f t="shared" si="85"/>
        <v>0</v>
      </c>
      <c r="K259" s="35"/>
      <c r="L259" s="40"/>
      <c r="M259" s="40"/>
      <c r="N259" s="40"/>
      <c r="O259" s="40"/>
      <c r="P259" s="40"/>
    </row>
    <row r="260" spans="1:16" s="78" customFormat="1" ht="51" hidden="1" x14ac:dyDescent="0.3">
      <c r="A260" s="16" t="s">
        <v>389</v>
      </c>
      <c r="B260" s="29" t="s">
        <v>417</v>
      </c>
      <c r="C260" s="76"/>
      <c r="D260" s="7"/>
      <c r="E260" s="7"/>
      <c r="F260" s="7">
        <f t="shared" si="82"/>
        <v>0</v>
      </c>
      <c r="G260" s="7"/>
      <c r="H260" s="7">
        <f t="shared" si="84"/>
        <v>0</v>
      </c>
      <c r="I260" s="7"/>
      <c r="J260" s="104">
        <f t="shared" si="85"/>
        <v>0</v>
      </c>
      <c r="K260" s="35"/>
      <c r="L260" s="40"/>
      <c r="M260" s="40"/>
      <c r="N260" s="40"/>
      <c r="O260" s="40"/>
      <c r="P260" s="40"/>
    </row>
    <row r="261" spans="1:16" s="78" customFormat="1" ht="37.5" hidden="1" customHeight="1" x14ac:dyDescent="0.3">
      <c r="A261" s="16" t="s">
        <v>389</v>
      </c>
      <c r="B261" s="29" t="s">
        <v>420</v>
      </c>
      <c r="C261" s="76"/>
      <c r="D261" s="7"/>
      <c r="E261" s="7"/>
      <c r="F261" s="7">
        <f t="shared" si="82"/>
        <v>0</v>
      </c>
      <c r="G261" s="7"/>
      <c r="H261" s="7">
        <f t="shared" si="84"/>
        <v>0</v>
      </c>
      <c r="I261" s="7"/>
      <c r="J261" s="104">
        <f t="shared" si="85"/>
        <v>0</v>
      </c>
      <c r="K261" s="35"/>
      <c r="L261" s="40"/>
      <c r="M261" s="40"/>
      <c r="N261" s="40"/>
      <c r="O261" s="40"/>
      <c r="P261" s="40"/>
    </row>
    <row r="262" spans="1:16" s="78" customFormat="1" ht="54" hidden="1" customHeight="1" x14ac:dyDescent="0.3">
      <c r="A262" s="16" t="s">
        <v>389</v>
      </c>
      <c r="B262" s="29" t="s">
        <v>421</v>
      </c>
      <c r="C262" s="76"/>
      <c r="D262" s="7"/>
      <c r="E262" s="7"/>
      <c r="F262" s="7">
        <f t="shared" si="82"/>
        <v>0</v>
      </c>
      <c r="G262" s="7"/>
      <c r="H262" s="7">
        <f t="shared" si="84"/>
        <v>0</v>
      </c>
      <c r="I262" s="7"/>
      <c r="J262" s="104">
        <f t="shared" si="85"/>
        <v>0</v>
      </c>
      <c r="K262" s="35"/>
      <c r="L262" s="40"/>
      <c r="M262" s="40"/>
      <c r="N262" s="40"/>
      <c r="O262" s="40"/>
      <c r="P262" s="40"/>
    </row>
    <row r="263" spans="1:16" s="78" customFormat="1" ht="113.25" customHeight="1" x14ac:dyDescent="0.3">
      <c r="A263" s="16" t="s">
        <v>399</v>
      </c>
      <c r="B263" s="29" t="s">
        <v>402</v>
      </c>
      <c r="C263" s="76" t="s">
        <v>593</v>
      </c>
      <c r="D263" s="7"/>
      <c r="E263" s="7">
        <f>4091.5-3537</f>
        <v>554.5</v>
      </c>
      <c r="F263" s="7">
        <f t="shared" si="82"/>
        <v>54.171789242590563</v>
      </c>
      <c r="G263" s="7">
        <v>2258.4</v>
      </c>
      <c r="H263" s="7">
        <f t="shared" si="84"/>
        <v>220.63402854006588</v>
      </c>
      <c r="I263" s="7"/>
      <c r="J263" s="104">
        <f t="shared" si="85"/>
        <v>0</v>
      </c>
      <c r="K263" s="35"/>
      <c r="L263" s="40"/>
      <c r="M263" s="40"/>
      <c r="N263" s="40"/>
      <c r="O263" s="40"/>
      <c r="P263" s="40"/>
    </row>
    <row r="264" spans="1:16" ht="105" customHeight="1" x14ac:dyDescent="0.3">
      <c r="A264" s="16" t="s">
        <v>389</v>
      </c>
      <c r="B264" s="29" t="s">
        <v>393</v>
      </c>
      <c r="C264" s="76">
        <v>73210</v>
      </c>
      <c r="D264" s="7">
        <f>3167.1+86.5</f>
        <v>3253.6</v>
      </c>
      <c r="E264" s="7">
        <f>4071.1-380.4</f>
        <v>3690.7</v>
      </c>
      <c r="F264" s="7">
        <f t="shared" si="82"/>
        <v>360.56234906695943</v>
      </c>
      <c r="G264" s="7">
        <v>4233.8999999999996</v>
      </c>
      <c r="H264" s="7">
        <f t="shared" si="84"/>
        <v>413.63018660812298</v>
      </c>
      <c r="I264" s="7">
        <v>4403.3</v>
      </c>
      <c r="J264" s="104">
        <f t="shared" si="85"/>
        <v>430.17969264544462</v>
      </c>
      <c r="K264" s="35"/>
      <c r="L264" s="40"/>
      <c r="M264" s="40"/>
      <c r="N264" s="40"/>
      <c r="O264" s="40"/>
      <c r="P264" s="40"/>
    </row>
    <row r="265" spans="1:16" ht="150.75" customHeight="1" x14ac:dyDescent="0.3">
      <c r="A265" s="16" t="s">
        <v>389</v>
      </c>
      <c r="B265" s="29" t="s">
        <v>394</v>
      </c>
      <c r="C265" s="76" t="s">
        <v>618</v>
      </c>
      <c r="D265" s="7">
        <v>4500</v>
      </c>
      <c r="E265" s="7">
        <v>7339.9</v>
      </c>
      <c r="F265" s="7">
        <f t="shared" si="82"/>
        <v>717.07036223929754</v>
      </c>
      <c r="G265" s="7">
        <v>7370.9</v>
      </c>
      <c r="H265" s="7">
        <f t="shared" si="84"/>
        <v>720.09890230515919</v>
      </c>
      <c r="I265" s="7"/>
      <c r="J265" s="104">
        <f t="shared" si="85"/>
        <v>0</v>
      </c>
      <c r="K265" s="35"/>
      <c r="L265" s="40"/>
      <c r="M265" s="40"/>
      <c r="N265" s="40"/>
      <c r="O265" s="40"/>
      <c r="P265" s="40"/>
    </row>
    <row r="266" spans="1:16" s="78" customFormat="1" ht="39" customHeight="1" x14ac:dyDescent="0.3">
      <c r="A266" s="16" t="s">
        <v>389</v>
      </c>
      <c r="B266" s="68" t="s">
        <v>617</v>
      </c>
      <c r="C266" s="89">
        <v>73090</v>
      </c>
      <c r="D266" s="7"/>
      <c r="E266" s="7">
        <f>1811.2-609.5</f>
        <v>1201.7</v>
      </c>
      <c r="F266" s="7">
        <f t="shared" si="82"/>
        <v>117.39989023051594</v>
      </c>
      <c r="G266" s="7">
        <v>1850.2</v>
      </c>
      <c r="H266" s="7">
        <f t="shared" si="84"/>
        <v>180.75499451152584</v>
      </c>
      <c r="I266" s="7">
        <v>1890.8</v>
      </c>
      <c r="J266" s="104">
        <f t="shared" si="85"/>
        <v>184.72140504939628</v>
      </c>
      <c r="K266" s="35"/>
      <c r="L266" s="40"/>
      <c r="M266" s="40"/>
      <c r="N266" s="40"/>
      <c r="O266" s="40"/>
      <c r="P266" s="40"/>
    </row>
    <row r="267" spans="1:16" s="78" customFormat="1" hidden="1" x14ac:dyDescent="0.3">
      <c r="A267" s="16"/>
      <c r="B267" s="97">
        <v>73440</v>
      </c>
      <c r="C267" s="89"/>
      <c r="D267" s="7">
        <f>2327.4-1300</f>
        <v>1027.4000000000001</v>
      </c>
      <c r="E267" s="7"/>
      <c r="F267" s="7">
        <f t="shared" si="82"/>
        <v>0</v>
      </c>
      <c r="G267" s="7"/>
      <c r="H267" s="7">
        <f t="shared" si="84"/>
        <v>0</v>
      </c>
      <c r="I267" s="7"/>
      <c r="J267" s="104">
        <f t="shared" si="85"/>
        <v>0</v>
      </c>
      <c r="K267" s="35"/>
      <c r="L267" s="40"/>
      <c r="M267" s="40"/>
      <c r="N267" s="40"/>
      <c r="O267" s="40"/>
      <c r="P267" s="40"/>
    </row>
    <row r="268" spans="1:16" s="78" customFormat="1" hidden="1" x14ac:dyDescent="0.3">
      <c r="A268" s="16"/>
      <c r="B268" s="97">
        <v>73950</v>
      </c>
      <c r="C268" s="89"/>
      <c r="D268" s="7">
        <v>326.10000000000002</v>
      </c>
      <c r="E268" s="7"/>
      <c r="F268" s="7">
        <f t="shared" si="82"/>
        <v>0</v>
      </c>
      <c r="G268" s="7"/>
      <c r="H268" s="7">
        <f t="shared" si="84"/>
        <v>0</v>
      </c>
      <c r="I268" s="7"/>
      <c r="J268" s="104">
        <f t="shared" si="85"/>
        <v>0</v>
      </c>
      <c r="K268" s="35"/>
      <c r="L268" s="40"/>
      <c r="M268" s="40"/>
      <c r="N268" s="40"/>
      <c r="O268" s="40"/>
      <c r="P268" s="40"/>
    </row>
    <row r="269" spans="1:16" s="78" customFormat="1" hidden="1" x14ac:dyDescent="0.3">
      <c r="A269" s="16"/>
      <c r="B269" s="97">
        <v>73443</v>
      </c>
      <c r="C269" s="89"/>
      <c r="D269" s="7">
        <v>151.19999999999999</v>
      </c>
      <c r="E269" s="7"/>
      <c r="F269" s="7">
        <f t="shared" si="82"/>
        <v>0</v>
      </c>
      <c r="G269" s="7"/>
      <c r="H269" s="7">
        <f t="shared" si="84"/>
        <v>0</v>
      </c>
      <c r="I269" s="7"/>
      <c r="J269" s="104">
        <f t="shared" si="85"/>
        <v>0</v>
      </c>
      <c r="K269" s="35"/>
      <c r="L269" s="40"/>
      <c r="M269" s="40"/>
      <c r="N269" s="40"/>
      <c r="O269" s="40"/>
      <c r="P269" s="40"/>
    </row>
    <row r="270" spans="1:16" s="78" customFormat="1" hidden="1" x14ac:dyDescent="0.3">
      <c r="A270" s="16"/>
      <c r="B270" s="97" t="s">
        <v>594</v>
      </c>
      <c r="C270" s="89"/>
      <c r="D270" s="7">
        <v>328.6</v>
      </c>
      <c r="E270" s="7"/>
      <c r="F270" s="7">
        <f t="shared" si="82"/>
        <v>0</v>
      </c>
      <c r="G270" s="7"/>
      <c r="H270" s="7">
        <f t="shared" si="84"/>
        <v>0</v>
      </c>
      <c r="I270" s="7"/>
      <c r="J270" s="104">
        <f t="shared" si="85"/>
        <v>0</v>
      </c>
      <c r="K270" s="35"/>
      <c r="L270" s="40"/>
      <c r="M270" s="40"/>
      <c r="N270" s="40"/>
      <c r="O270" s="40"/>
      <c r="P270" s="40"/>
    </row>
    <row r="271" spans="1:16" s="78" customFormat="1" ht="15.75" hidden="1" customHeight="1" x14ac:dyDescent="0.3">
      <c r="A271" s="16"/>
      <c r="B271" s="97">
        <v>73320</v>
      </c>
      <c r="C271" s="89"/>
      <c r="D271" s="7">
        <v>60.3</v>
      </c>
      <c r="E271" s="7"/>
      <c r="F271" s="7">
        <f t="shared" si="82"/>
        <v>0</v>
      </c>
      <c r="G271" s="7"/>
      <c r="H271" s="7">
        <f t="shared" si="84"/>
        <v>0</v>
      </c>
      <c r="I271" s="7"/>
      <c r="J271" s="104">
        <f t="shared" si="85"/>
        <v>0</v>
      </c>
      <c r="K271" s="35"/>
      <c r="L271" s="40"/>
      <c r="M271" s="40"/>
      <c r="N271" s="40"/>
      <c r="O271" s="40"/>
      <c r="P271" s="40"/>
    </row>
    <row r="272" spans="1:16" ht="128.25" hidden="1" customHeight="1" x14ac:dyDescent="0.3">
      <c r="A272" s="16" t="s">
        <v>389</v>
      </c>
      <c r="B272" s="29" t="s">
        <v>395</v>
      </c>
      <c r="C272" s="76">
        <v>73320</v>
      </c>
      <c r="D272" s="7"/>
      <c r="E272" s="7"/>
      <c r="F272" s="7">
        <f t="shared" si="82"/>
        <v>0</v>
      </c>
      <c r="G272" s="7"/>
      <c r="H272" s="7">
        <f t="shared" si="84"/>
        <v>0</v>
      </c>
      <c r="I272" s="7"/>
      <c r="J272" s="104">
        <f t="shared" si="85"/>
        <v>0</v>
      </c>
      <c r="K272" s="35"/>
      <c r="L272" s="40"/>
      <c r="M272" s="40"/>
      <c r="N272" s="40"/>
      <c r="O272" s="40"/>
      <c r="P272" s="40"/>
    </row>
    <row r="273" spans="1:16" ht="142.5" customHeight="1" x14ac:dyDescent="0.3">
      <c r="A273" s="16" t="s">
        <v>389</v>
      </c>
      <c r="B273" s="29" t="s">
        <v>396</v>
      </c>
      <c r="C273" s="76">
        <v>73420</v>
      </c>
      <c r="D273" s="7">
        <f>479.9</f>
        <v>479.9</v>
      </c>
      <c r="E273" s="7">
        <v>1121</v>
      </c>
      <c r="F273" s="7">
        <f t="shared" si="82"/>
        <v>109.51591657519209</v>
      </c>
      <c r="G273" s="7">
        <v>1121</v>
      </c>
      <c r="H273" s="7">
        <f t="shared" si="84"/>
        <v>109.51591657519209</v>
      </c>
      <c r="I273" s="7">
        <v>1121</v>
      </c>
      <c r="J273" s="104">
        <f t="shared" si="85"/>
        <v>109.51591657519209</v>
      </c>
      <c r="K273" s="35"/>
      <c r="L273" s="40"/>
      <c r="M273" s="40"/>
      <c r="N273" s="40"/>
      <c r="O273" s="40"/>
      <c r="P273" s="40"/>
    </row>
    <row r="274" spans="1:16" ht="152.25" customHeight="1" x14ac:dyDescent="0.3">
      <c r="A274" s="16" t="s">
        <v>389</v>
      </c>
      <c r="B274" s="29" t="s">
        <v>397</v>
      </c>
      <c r="C274" s="76"/>
      <c r="D274" s="7">
        <v>5500</v>
      </c>
      <c r="E274" s="7">
        <v>3537</v>
      </c>
      <c r="F274" s="7">
        <f t="shared" si="82"/>
        <v>345.54665203073552</v>
      </c>
      <c r="G274" s="7"/>
      <c r="H274" s="7">
        <f t="shared" si="84"/>
        <v>0</v>
      </c>
      <c r="I274" s="7"/>
      <c r="J274" s="104">
        <f t="shared" si="85"/>
        <v>0</v>
      </c>
      <c r="K274" s="35"/>
      <c r="L274" s="40"/>
      <c r="M274" s="40"/>
      <c r="N274" s="40"/>
      <c r="O274" s="40"/>
      <c r="P274" s="40"/>
    </row>
    <row r="275" spans="1:16" ht="98.25" hidden="1" customHeight="1" x14ac:dyDescent="0.3">
      <c r="A275" s="16" t="s">
        <v>389</v>
      </c>
      <c r="B275" s="29" t="s">
        <v>404</v>
      </c>
      <c r="C275" s="76">
        <v>73950</v>
      </c>
      <c r="D275" s="7"/>
      <c r="E275" s="98"/>
      <c r="F275" s="7">
        <f t="shared" si="82"/>
        <v>0</v>
      </c>
      <c r="G275" s="98"/>
      <c r="H275" s="7">
        <f t="shared" si="84"/>
        <v>0</v>
      </c>
      <c r="I275" s="98"/>
      <c r="J275" s="104">
        <f t="shared" si="85"/>
        <v>0</v>
      </c>
      <c r="K275" s="36"/>
      <c r="L275" s="36"/>
      <c r="M275" s="36"/>
      <c r="N275" s="40"/>
      <c r="O275" s="40"/>
      <c r="P275" s="40"/>
    </row>
    <row r="276" spans="1:16" ht="101.25" hidden="1" customHeight="1" x14ac:dyDescent="0.3">
      <c r="A276" s="16" t="s">
        <v>389</v>
      </c>
      <c r="B276" s="29" t="s">
        <v>407</v>
      </c>
      <c r="C276" s="76">
        <v>73440</v>
      </c>
      <c r="D276" s="7"/>
      <c r="E276" s="98"/>
      <c r="F276" s="7">
        <f t="shared" si="82"/>
        <v>0</v>
      </c>
      <c r="G276" s="98"/>
      <c r="H276" s="7">
        <f t="shared" si="84"/>
        <v>0</v>
      </c>
      <c r="I276" s="98"/>
      <c r="J276" s="104">
        <f t="shared" si="85"/>
        <v>0</v>
      </c>
      <c r="K276" s="36"/>
      <c r="L276" s="36"/>
      <c r="M276" s="36"/>
      <c r="N276" s="40"/>
      <c r="O276" s="40"/>
      <c r="P276" s="40"/>
    </row>
    <row r="277" spans="1:16" ht="136.5" hidden="1" customHeight="1" x14ac:dyDescent="0.3">
      <c r="A277" s="16" t="s">
        <v>389</v>
      </c>
      <c r="B277" s="29" t="s">
        <v>409</v>
      </c>
      <c r="C277" s="76">
        <v>73260</v>
      </c>
      <c r="D277" s="7">
        <v>30</v>
      </c>
      <c r="E277" s="98"/>
      <c r="F277" s="7">
        <f t="shared" si="82"/>
        <v>0</v>
      </c>
      <c r="G277" s="98"/>
      <c r="H277" s="7">
        <f t="shared" si="84"/>
        <v>0</v>
      </c>
      <c r="I277" s="98"/>
      <c r="J277" s="104">
        <f t="shared" si="85"/>
        <v>0</v>
      </c>
      <c r="K277" s="36"/>
      <c r="L277" s="36"/>
      <c r="M277" s="36"/>
      <c r="N277" s="40"/>
      <c r="O277" s="40"/>
      <c r="P277" s="40"/>
    </row>
    <row r="278" spans="1:16" ht="117" customHeight="1" x14ac:dyDescent="0.3">
      <c r="A278" s="16" t="s">
        <v>389</v>
      </c>
      <c r="B278" s="29" t="s">
        <v>410</v>
      </c>
      <c r="C278" s="76">
        <v>73450</v>
      </c>
      <c r="D278" s="7">
        <v>41.9</v>
      </c>
      <c r="E278" s="7">
        <v>41.9</v>
      </c>
      <c r="F278" s="7">
        <f t="shared" si="82"/>
        <v>4.0934138309549954</v>
      </c>
      <c r="G278" s="7"/>
      <c r="H278" s="7">
        <f t="shared" si="84"/>
        <v>0</v>
      </c>
      <c r="I278" s="7"/>
      <c r="J278" s="104">
        <f t="shared" si="85"/>
        <v>0</v>
      </c>
      <c r="K278" s="35"/>
      <c r="L278" s="40"/>
      <c r="M278" s="40"/>
      <c r="N278" s="40"/>
      <c r="O278" s="40"/>
      <c r="P278" s="40"/>
    </row>
    <row r="279" spans="1:16" ht="104.25" customHeight="1" x14ac:dyDescent="0.3">
      <c r="A279" s="16" t="s">
        <v>389</v>
      </c>
      <c r="B279" s="29" t="s">
        <v>613</v>
      </c>
      <c r="C279" s="76">
        <v>73202</v>
      </c>
      <c r="D279" s="7">
        <v>3.1</v>
      </c>
      <c r="E279" s="7">
        <v>3.1</v>
      </c>
      <c r="F279" s="7">
        <f t="shared" si="82"/>
        <v>0.30285400658616912</v>
      </c>
      <c r="G279" s="7">
        <v>3.1</v>
      </c>
      <c r="H279" s="7">
        <f t="shared" si="84"/>
        <v>0.30285400658616912</v>
      </c>
      <c r="I279" s="7"/>
      <c r="J279" s="104">
        <f t="shared" si="85"/>
        <v>0</v>
      </c>
      <c r="K279" s="35"/>
      <c r="L279" s="40"/>
      <c r="M279" s="40"/>
      <c r="N279" s="40"/>
      <c r="O279" s="40"/>
      <c r="P279" s="40"/>
    </row>
    <row r="280" spans="1:16" ht="0.75" hidden="1" customHeight="1" x14ac:dyDescent="0.3">
      <c r="A280" s="16" t="s">
        <v>389</v>
      </c>
      <c r="B280" s="29" t="s">
        <v>412</v>
      </c>
      <c r="C280" s="76" t="s">
        <v>594</v>
      </c>
      <c r="D280" s="7"/>
      <c r="E280" s="7"/>
      <c r="F280" s="7">
        <f t="shared" si="82"/>
        <v>0</v>
      </c>
      <c r="G280" s="7"/>
      <c r="H280" s="7">
        <f t="shared" si="84"/>
        <v>0</v>
      </c>
      <c r="I280" s="7"/>
      <c r="J280" s="104">
        <f t="shared" si="85"/>
        <v>0</v>
      </c>
      <c r="K280" s="36"/>
      <c r="L280" s="36"/>
      <c r="M280" s="36"/>
      <c r="N280" s="40"/>
      <c r="O280" s="40"/>
      <c r="P280" s="40"/>
    </row>
    <row r="281" spans="1:16" ht="92.25" hidden="1" customHeight="1" x14ac:dyDescent="0.3">
      <c r="A281" s="16" t="s">
        <v>389</v>
      </c>
      <c r="B281" s="29" t="s">
        <v>510</v>
      </c>
      <c r="C281" s="76">
        <v>73443</v>
      </c>
      <c r="D281" s="7"/>
      <c r="E281" s="7"/>
      <c r="F281" s="7">
        <f t="shared" si="82"/>
        <v>0</v>
      </c>
      <c r="G281" s="7"/>
      <c r="H281" s="7">
        <f t="shared" si="84"/>
        <v>0</v>
      </c>
      <c r="I281" s="7"/>
      <c r="J281" s="104">
        <f t="shared" si="85"/>
        <v>0</v>
      </c>
      <c r="K281" s="36"/>
      <c r="L281" s="36"/>
      <c r="M281" s="36"/>
      <c r="N281" s="40"/>
      <c r="O281" s="40"/>
      <c r="P281" s="40"/>
    </row>
    <row r="282" spans="1:16" ht="68.25" customHeight="1" x14ac:dyDescent="0.3">
      <c r="A282" s="16" t="s">
        <v>389</v>
      </c>
      <c r="B282" s="29" t="s">
        <v>419</v>
      </c>
      <c r="C282" s="76">
        <v>73240</v>
      </c>
      <c r="D282" s="7">
        <f>48+1.8</f>
        <v>49.8</v>
      </c>
      <c r="E282" s="7">
        <v>49.8</v>
      </c>
      <c r="F282" s="7">
        <f t="shared" si="82"/>
        <v>4.8652030735455547</v>
      </c>
      <c r="G282" s="7">
        <v>49.8</v>
      </c>
      <c r="H282" s="7">
        <f t="shared" si="84"/>
        <v>4.8652030735455547</v>
      </c>
      <c r="I282" s="7">
        <v>49.8</v>
      </c>
      <c r="J282" s="104">
        <f t="shared" si="85"/>
        <v>4.8652030735455547</v>
      </c>
      <c r="K282" s="36"/>
      <c r="L282" s="40"/>
      <c r="M282" s="40"/>
      <c r="N282" s="40"/>
      <c r="O282" s="40"/>
      <c r="P282" s="40"/>
    </row>
    <row r="283" spans="1:16" ht="93" hidden="1" customHeight="1" x14ac:dyDescent="0.3">
      <c r="A283" s="16" t="s">
        <v>389</v>
      </c>
      <c r="B283" s="29" t="s">
        <v>422</v>
      </c>
      <c r="C283" s="76"/>
      <c r="D283" s="7"/>
      <c r="E283" s="7"/>
      <c r="F283" s="7">
        <f t="shared" si="82"/>
        <v>0</v>
      </c>
      <c r="G283" s="7"/>
      <c r="H283" s="7">
        <f t="shared" si="84"/>
        <v>0</v>
      </c>
      <c r="I283" s="7"/>
      <c r="J283" s="104">
        <f t="shared" si="85"/>
        <v>0</v>
      </c>
      <c r="K283" s="35"/>
      <c r="L283" s="40"/>
      <c r="M283" s="40"/>
      <c r="N283" s="40"/>
      <c r="O283" s="40"/>
      <c r="P283" s="40"/>
    </row>
    <row r="284" spans="1:16" ht="122.25" hidden="1" customHeight="1" x14ac:dyDescent="0.3">
      <c r="A284" s="16" t="s">
        <v>389</v>
      </c>
      <c r="B284" s="29" t="s">
        <v>423</v>
      </c>
      <c r="C284" s="76"/>
      <c r="D284" s="7">
        <v>8705.2000000000007</v>
      </c>
      <c r="E284" s="7"/>
      <c r="F284" s="7">
        <f t="shared" si="82"/>
        <v>0</v>
      </c>
      <c r="G284" s="7"/>
      <c r="H284" s="7">
        <f t="shared" si="84"/>
        <v>0</v>
      </c>
      <c r="I284" s="7"/>
      <c r="J284" s="104">
        <f t="shared" si="85"/>
        <v>0</v>
      </c>
      <c r="K284" s="35"/>
      <c r="L284" s="40"/>
      <c r="M284" s="40"/>
      <c r="N284" s="40"/>
      <c r="O284" s="40"/>
      <c r="P284" s="40"/>
    </row>
    <row r="285" spans="1:16" ht="53.25" customHeight="1" x14ac:dyDescent="0.3">
      <c r="A285" s="16" t="s">
        <v>389</v>
      </c>
      <c r="B285" s="29" t="s">
        <v>515</v>
      </c>
      <c r="C285" s="76">
        <v>11830</v>
      </c>
      <c r="D285" s="7">
        <v>5086.3</v>
      </c>
      <c r="E285" s="7">
        <v>300</v>
      </c>
      <c r="F285" s="7">
        <f t="shared" ref="F285:F297" si="99">E285*8.9/91.1</f>
        <v>29.308452250274424</v>
      </c>
      <c r="G285" s="7"/>
      <c r="H285" s="7">
        <f t="shared" ref="H285:H297" si="100">G285*8.9/91.1</f>
        <v>0</v>
      </c>
      <c r="I285" s="7"/>
      <c r="J285" s="104">
        <f t="shared" ref="J285:J297" si="101">I285*8.9/91.1</f>
        <v>0</v>
      </c>
      <c r="K285" s="35"/>
      <c r="L285" s="40"/>
      <c r="M285" s="40"/>
      <c r="N285" s="40"/>
      <c r="O285" s="40"/>
      <c r="P285" s="40"/>
    </row>
    <row r="286" spans="1:16" ht="55.5" hidden="1" customHeight="1" x14ac:dyDescent="0.3">
      <c r="A286" s="16" t="s">
        <v>389</v>
      </c>
      <c r="B286" s="29" t="s">
        <v>518</v>
      </c>
      <c r="C286" s="76"/>
      <c r="D286" s="7">
        <f>10015+28708.9</f>
        <v>38723.9</v>
      </c>
      <c r="E286" s="7"/>
      <c r="F286" s="7">
        <f t="shared" si="99"/>
        <v>0</v>
      </c>
      <c r="G286" s="7"/>
      <c r="H286" s="7">
        <f t="shared" si="100"/>
        <v>0</v>
      </c>
      <c r="I286" s="7"/>
      <c r="J286" s="104">
        <f t="shared" si="101"/>
        <v>0</v>
      </c>
      <c r="K286" s="35"/>
      <c r="L286" s="40"/>
      <c r="M286" s="40"/>
      <c r="N286" s="40"/>
      <c r="O286" s="40"/>
      <c r="P286" s="40"/>
    </row>
    <row r="287" spans="1:16" ht="60" hidden="1" customHeight="1" x14ac:dyDescent="0.3">
      <c r="A287" s="16" t="s">
        <v>389</v>
      </c>
      <c r="B287" s="29" t="s">
        <v>519</v>
      </c>
      <c r="C287" s="76"/>
      <c r="D287" s="7">
        <v>14531</v>
      </c>
      <c r="E287" s="7"/>
      <c r="F287" s="7">
        <f t="shared" si="99"/>
        <v>0</v>
      </c>
      <c r="G287" s="7"/>
      <c r="H287" s="7">
        <f t="shared" si="100"/>
        <v>0</v>
      </c>
      <c r="I287" s="7"/>
      <c r="J287" s="104">
        <f t="shared" si="101"/>
        <v>0</v>
      </c>
      <c r="K287" s="35"/>
      <c r="L287" s="40"/>
      <c r="M287" s="40"/>
      <c r="N287" s="40"/>
      <c r="O287" s="40"/>
      <c r="P287" s="40"/>
    </row>
    <row r="288" spans="1:16" ht="51.75" hidden="1" customHeight="1" x14ac:dyDescent="0.3">
      <c r="A288" s="16" t="s">
        <v>389</v>
      </c>
      <c r="B288" s="29" t="s">
        <v>527</v>
      </c>
      <c r="C288" s="76"/>
      <c r="D288" s="7">
        <v>14339.9</v>
      </c>
      <c r="E288" s="7"/>
      <c r="F288" s="7">
        <f t="shared" si="99"/>
        <v>0</v>
      </c>
      <c r="G288" s="7"/>
      <c r="H288" s="7">
        <f t="shared" si="100"/>
        <v>0</v>
      </c>
      <c r="I288" s="7"/>
      <c r="J288" s="104">
        <f t="shared" si="101"/>
        <v>0</v>
      </c>
      <c r="K288" s="35"/>
      <c r="L288" s="40"/>
      <c r="M288" s="40"/>
      <c r="N288" s="40"/>
      <c r="O288" s="40"/>
      <c r="P288" s="40"/>
    </row>
    <row r="289" spans="1:16" ht="70.5" hidden="1" customHeight="1" x14ac:dyDescent="0.3">
      <c r="A289" s="16" t="s">
        <v>389</v>
      </c>
      <c r="B289" s="29" t="s">
        <v>532</v>
      </c>
      <c r="C289" s="76"/>
      <c r="D289" s="7">
        <v>1488</v>
      </c>
      <c r="E289" s="7"/>
      <c r="F289" s="7">
        <f t="shared" si="99"/>
        <v>0</v>
      </c>
      <c r="G289" s="7"/>
      <c r="H289" s="7">
        <f t="shared" si="100"/>
        <v>0</v>
      </c>
      <c r="I289" s="7"/>
      <c r="J289" s="104">
        <f t="shared" si="101"/>
        <v>0</v>
      </c>
      <c r="K289" s="35"/>
      <c r="L289" s="40"/>
      <c r="M289" s="40"/>
      <c r="N289" s="40"/>
      <c r="O289" s="40"/>
      <c r="P289" s="40"/>
    </row>
    <row r="290" spans="1:16" ht="95.25" hidden="1" customHeight="1" x14ac:dyDescent="0.3">
      <c r="A290" s="16" t="s">
        <v>389</v>
      </c>
      <c r="B290" s="29" t="s">
        <v>536</v>
      </c>
      <c r="C290" s="76"/>
      <c r="D290" s="7">
        <f>1684.62</f>
        <v>1684.62</v>
      </c>
      <c r="E290" s="7"/>
      <c r="F290" s="7">
        <f t="shared" si="99"/>
        <v>0</v>
      </c>
      <c r="G290" s="7"/>
      <c r="H290" s="7">
        <f t="shared" si="100"/>
        <v>0</v>
      </c>
      <c r="I290" s="7"/>
      <c r="J290" s="104">
        <f t="shared" si="101"/>
        <v>0</v>
      </c>
      <c r="K290" s="35"/>
      <c r="L290" s="40"/>
      <c r="M290" s="40"/>
      <c r="N290" s="40"/>
      <c r="O290" s="40"/>
      <c r="P290" s="40"/>
    </row>
    <row r="291" spans="1:16" ht="42.75" hidden="1" customHeight="1" x14ac:dyDescent="0.3">
      <c r="A291" s="16" t="s">
        <v>389</v>
      </c>
      <c r="B291" s="29" t="s">
        <v>528</v>
      </c>
      <c r="C291" s="76"/>
      <c r="D291" s="7">
        <v>2500</v>
      </c>
      <c r="E291" s="7"/>
      <c r="F291" s="7">
        <f t="shared" si="99"/>
        <v>0</v>
      </c>
      <c r="G291" s="7"/>
      <c r="H291" s="7">
        <f t="shared" si="100"/>
        <v>0</v>
      </c>
      <c r="I291" s="7"/>
      <c r="J291" s="104">
        <f t="shared" si="101"/>
        <v>0</v>
      </c>
      <c r="K291" s="35"/>
      <c r="L291" s="40"/>
      <c r="M291" s="40"/>
      <c r="N291" s="40"/>
      <c r="O291" s="40"/>
      <c r="P291" s="40"/>
    </row>
    <row r="292" spans="1:16" ht="56.25" hidden="1" customHeight="1" x14ac:dyDescent="0.3">
      <c r="A292" s="16" t="s">
        <v>529</v>
      </c>
      <c r="B292" s="29" t="s">
        <v>530</v>
      </c>
      <c r="C292" s="76"/>
      <c r="D292" s="7">
        <v>876.9</v>
      </c>
      <c r="E292" s="7"/>
      <c r="F292" s="7">
        <f t="shared" si="99"/>
        <v>0</v>
      </c>
      <c r="G292" s="7"/>
      <c r="H292" s="7">
        <f t="shared" si="100"/>
        <v>0</v>
      </c>
      <c r="I292" s="7"/>
      <c r="J292" s="104">
        <f t="shared" si="101"/>
        <v>0</v>
      </c>
      <c r="K292" s="35"/>
      <c r="L292" s="40"/>
      <c r="M292" s="40"/>
      <c r="N292" s="40"/>
      <c r="O292" s="40"/>
      <c r="P292" s="40"/>
    </row>
    <row r="293" spans="1:16" ht="45.75" hidden="1" customHeight="1" x14ac:dyDescent="0.3">
      <c r="A293" s="16" t="s">
        <v>529</v>
      </c>
      <c r="B293" s="29" t="s">
        <v>531</v>
      </c>
      <c r="C293" s="76"/>
      <c r="D293" s="7">
        <v>2398.8000000000002</v>
      </c>
      <c r="E293" s="7"/>
      <c r="F293" s="7">
        <f t="shared" si="99"/>
        <v>0</v>
      </c>
      <c r="G293" s="7"/>
      <c r="H293" s="7">
        <f t="shared" si="100"/>
        <v>0</v>
      </c>
      <c r="I293" s="7"/>
      <c r="J293" s="104">
        <f t="shared" si="101"/>
        <v>0</v>
      </c>
      <c r="K293" s="35"/>
      <c r="L293" s="40"/>
      <c r="M293" s="40"/>
      <c r="N293" s="40"/>
      <c r="O293" s="40"/>
      <c r="P293" s="40"/>
    </row>
    <row r="294" spans="1:16" ht="56.25" hidden="1" customHeight="1" x14ac:dyDescent="0.3">
      <c r="A294" s="69" t="s">
        <v>529</v>
      </c>
      <c r="B294" s="80" t="s">
        <v>534</v>
      </c>
      <c r="C294" s="76"/>
      <c r="D294" s="7">
        <v>3468.1</v>
      </c>
      <c r="E294" s="7"/>
      <c r="F294" s="7">
        <f t="shared" si="99"/>
        <v>0</v>
      </c>
      <c r="G294" s="7"/>
      <c r="H294" s="7">
        <f t="shared" si="100"/>
        <v>0</v>
      </c>
      <c r="I294" s="7"/>
      <c r="J294" s="104">
        <f t="shared" si="101"/>
        <v>0</v>
      </c>
      <c r="K294" s="35"/>
      <c r="L294" s="40"/>
      <c r="M294" s="40"/>
      <c r="N294" s="40"/>
      <c r="O294" s="40"/>
      <c r="P294" s="40"/>
    </row>
    <row r="295" spans="1:16" ht="51.75" customHeight="1" x14ac:dyDescent="0.3">
      <c r="A295" s="69" t="s">
        <v>529</v>
      </c>
      <c r="B295" s="99" t="s">
        <v>535</v>
      </c>
      <c r="C295" s="100" t="s">
        <v>620</v>
      </c>
      <c r="D295" s="101">
        <v>16712.099999999999</v>
      </c>
      <c r="E295" s="102">
        <v>12579</v>
      </c>
      <c r="F295" s="7">
        <f>E295*30/70</f>
        <v>5391</v>
      </c>
      <c r="G295" s="102"/>
      <c r="H295" s="7">
        <f t="shared" si="100"/>
        <v>0</v>
      </c>
      <c r="I295" s="102"/>
      <c r="J295" s="104">
        <f t="shared" si="101"/>
        <v>0</v>
      </c>
      <c r="K295" s="37"/>
      <c r="L295" s="40"/>
      <c r="M295" s="40"/>
      <c r="N295" s="40"/>
      <c r="O295" s="40"/>
      <c r="P295" s="40"/>
    </row>
    <row r="296" spans="1:16" s="78" customFormat="1" ht="34.5" customHeight="1" x14ac:dyDescent="0.3">
      <c r="A296" s="69" t="s">
        <v>529</v>
      </c>
      <c r="B296" s="99" t="s">
        <v>631</v>
      </c>
      <c r="C296" s="100" t="s">
        <v>621</v>
      </c>
      <c r="D296" s="101"/>
      <c r="E296" s="102">
        <v>793000</v>
      </c>
      <c r="F296" s="7">
        <f t="shared" si="99"/>
        <v>77472.008781558732</v>
      </c>
      <c r="G296" s="102"/>
      <c r="H296" s="7">
        <f t="shared" si="100"/>
        <v>0</v>
      </c>
      <c r="I296" s="102"/>
      <c r="J296" s="104">
        <f t="shared" si="101"/>
        <v>0</v>
      </c>
      <c r="K296" s="37"/>
      <c r="L296" s="40"/>
      <c r="M296" s="40"/>
      <c r="N296" s="40"/>
      <c r="O296" s="40"/>
      <c r="P296" s="40"/>
    </row>
    <row r="297" spans="1:16" ht="52.5" customHeight="1" x14ac:dyDescent="0.3">
      <c r="A297" s="69" t="s">
        <v>389</v>
      </c>
      <c r="B297" s="80" t="s">
        <v>522</v>
      </c>
      <c r="C297" s="76">
        <v>73280</v>
      </c>
      <c r="D297" s="7">
        <f>133.114531</f>
        <v>133.114531</v>
      </c>
      <c r="E297" s="7">
        <f>150+131.5</f>
        <v>281.5</v>
      </c>
      <c r="F297" s="7">
        <f t="shared" si="99"/>
        <v>27.501097694840833</v>
      </c>
      <c r="G297" s="7">
        <v>150</v>
      </c>
      <c r="H297" s="7">
        <f t="shared" si="100"/>
        <v>14.654226125137212</v>
      </c>
      <c r="I297" s="7">
        <v>150</v>
      </c>
      <c r="J297" s="104">
        <f t="shared" si="101"/>
        <v>14.654226125137212</v>
      </c>
      <c r="K297" s="35"/>
      <c r="L297" s="40"/>
      <c r="M297" s="40"/>
      <c r="N297" s="40"/>
      <c r="O297" s="40"/>
      <c r="P297" s="40"/>
    </row>
    <row r="298" spans="1:16" s="78" customFormat="1" ht="52.5" hidden="1" customHeight="1" x14ac:dyDescent="0.3">
      <c r="A298" s="69" t="s">
        <v>389</v>
      </c>
      <c r="B298" s="80"/>
      <c r="C298" s="76"/>
      <c r="D298" s="7"/>
      <c r="E298" s="7"/>
      <c r="F298" s="7"/>
      <c r="G298" s="7"/>
      <c r="H298" s="7"/>
      <c r="I298" s="7"/>
      <c r="J298" s="104"/>
      <c r="K298" s="35"/>
      <c r="L298" s="40"/>
      <c r="M298" s="40"/>
      <c r="N298" s="40"/>
      <c r="O298" s="40"/>
      <c r="P298" s="40"/>
    </row>
    <row r="299" spans="1:16" s="78" customFormat="1" ht="52.5" hidden="1" customHeight="1" x14ac:dyDescent="0.3">
      <c r="A299" s="69" t="s">
        <v>389</v>
      </c>
      <c r="B299" s="80"/>
      <c r="C299" s="76"/>
      <c r="D299" s="7"/>
      <c r="E299" s="7"/>
      <c r="F299" s="7"/>
      <c r="G299" s="7"/>
      <c r="H299" s="7"/>
      <c r="I299" s="7"/>
      <c r="J299" s="104"/>
      <c r="K299" s="35"/>
      <c r="L299" s="40"/>
      <c r="M299" s="40"/>
      <c r="N299" s="40"/>
      <c r="O299" s="40"/>
      <c r="P299" s="40"/>
    </row>
    <row r="300" spans="1:16" ht="37.5" customHeight="1" x14ac:dyDescent="0.3">
      <c r="A300" s="12" t="s">
        <v>424</v>
      </c>
      <c r="B300" s="30" t="s">
        <v>425</v>
      </c>
      <c r="C300" s="77"/>
      <c r="D300" s="5">
        <f>D301+D361+D363+D367</f>
        <v>263348</v>
      </c>
      <c r="E300" s="5">
        <f>E301+E361+E363+E367+E369</f>
        <v>266817.59999999998</v>
      </c>
      <c r="F300" s="5">
        <f t="shared" ref="F300:I300" si="102">F301+F361+F363+F367+F369</f>
        <v>0</v>
      </c>
      <c r="G300" s="5">
        <f t="shared" si="102"/>
        <v>268110.09999999998</v>
      </c>
      <c r="H300" s="5">
        <f t="shared" si="102"/>
        <v>0</v>
      </c>
      <c r="I300" s="5">
        <f t="shared" si="102"/>
        <v>239218.19999999998</v>
      </c>
      <c r="J300" s="103"/>
      <c r="K300" s="35"/>
      <c r="L300" s="40"/>
      <c r="M300" s="40"/>
      <c r="N300" s="40"/>
      <c r="O300" s="40"/>
      <c r="P300" s="40"/>
    </row>
    <row r="301" spans="1:16" ht="30.75" customHeight="1" x14ac:dyDescent="0.3">
      <c r="A301" s="14" t="s">
        <v>426</v>
      </c>
      <c r="B301" s="29" t="s">
        <v>427</v>
      </c>
      <c r="C301" s="76"/>
      <c r="D301" s="7">
        <f>D302</f>
        <v>262335</v>
      </c>
      <c r="E301" s="7">
        <f t="shared" ref="E301:I301" si="103">E302</f>
        <v>24188.3</v>
      </c>
      <c r="F301" s="7"/>
      <c r="G301" s="7">
        <f t="shared" si="103"/>
        <v>25563.699999999997</v>
      </c>
      <c r="H301" s="7"/>
      <c r="I301" s="7">
        <f t="shared" si="103"/>
        <v>25815.200000000001</v>
      </c>
      <c r="J301" s="103"/>
      <c r="K301" s="35"/>
      <c r="L301" s="40"/>
      <c r="M301" s="40"/>
      <c r="N301" s="40"/>
      <c r="O301" s="40"/>
      <c r="P301" s="40"/>
    </row>
    <row r="302" spans="1:16" ht="36" customHeight="1" x14ac:dyDescent="0.3">
      <c r="A302" s="14" t="s">
        <v>428</v>
      </c>
      <c r="B302" s="29" t="s">
        <v>429</v>
      </c>
      <c r="C302" s="76"/>
      <c r="D302" s="7">
        <f t="shared" ref="D302:J302" si="104">D303+D304+D305+D309+D312+D316+D319+D322+D325+D326+D327+D335+D338+D341+D342+D343+D358</f>
        <v>262335</v>
      </c>
      <c r="E302" s="7">
        <f t="shared" si="104"/>
        <v>24188.3</v>
      </c>
      <c r="F302" s="7">
        <f t="shared" si="104"/>
        <v>0</v>
      </c>
      <c r="G302" s="7">
        <f t="shared" si="104"/>
        <v>25563.699999999997</v>
      </c>
      <c r="H302" s="7">
        <f t="shared" si="104"/>
        <v>0</v>
      </c>
      <c r="I302" s="7">
        <f t="shared" si="104"/>
        <v>25815.200000000001</v>
      </c>
      <c r="J302" s="7">
        <f t="shared" si="104"/>
        <v>0</v>
      </c>
      <c r="K302" s="35"/>
      <c r="L302" s="40"/>
      <c r="M302" s="40"/>
      <c r="N302" s="40"/>
      <c r="O302" s="40"/>
      <c r="P302" s="40"/>
    </row>
    <row r="303" spans="1:16" ht="122.25" customHeight="1" x14ac:dyDescent="0.3">
      <c r="A303" s="14" t="s">
        <v>428</v>
      </c>
      <c r="B303" s="29" t="s">
        <v>430</v>
      </c>
      <c r="C303" s="76">
        <v>74130</v>
      </c>
      <c r="D303" s="7">
        <v>1326.9</v>
      </c>
      <c r="E303" s="7">
        <v>1258.7</v>
      </c>
      <c r="F303" s="7"/>
      <c r="G303" s="7">
        <v>1258.7</v>
      </c>
      <c r="H303" s="7"/>
      <c r="I303" s="7">
        <v>1258.7</v>
      </c>
      <c r="J303" s="103"/>
      <c r="K303" s="35"/>
      <c r="L303" s="40"/>
      <c r="M303" s="40"/>
      <c r="N303" s="40"/>
      <c r="O303" s="40"/>
      <c r="P303" s="40"/>
    </row>
    <row r="304" spans="1:16" ht="72.75" customHeight="1" x14ac:dyDescent="0.3">
      <c r="A304" s="14" t="s">
        <v>428</v>
      </c>
      <c r="B304" s="29" t="s">
        <v>431</v>
      </c>
      <c r="C304" s="76">
        <v>74190</v>
      </c>
      <c r="D304" s="7">
        <f>928.5+432.5</f>
        <v>1361</v>
      </c>
      <c r="E304" s="7">
        <v>1072.8</v>
      </c>
      <c r="F304" s="7"/>
      <c r="G304" s="7">
        <v>1072.8</v>
      </c>
      <c r="H304" s="7"/>
      <c r="I304" s="7">
        <v>1072.8</v>
      </c>
      <c r="J304" s="103"/>
      <c r="K304" s="35"/>
      <c r="L304" s="40"/>
      <c r="M304" s="40"/>
      <c r="N304" s="40"/>
      <c r="O304" s="40"/>
      <c r="P304" s="40"/>
    </row>
    <row r="305" spans="1:16" ht="112.5" hidden="1" customHeight="1" x14ac:dyDescent="0.3">
      <c r="A305" s="14" t="s">
        <v>428</v>
      </c>
      <c r="B305" s="29" t="s">
        <v>432</v>
      </c>
      <c r="C305" s="76">
        <v>74060</v>
      </c>
      <c r="D305" s="7"/>
      <c r="E305" s="96"/>
      <c r="F305" s="96"/>
      <c r="G305" s="96"/>
      <c r="H305" s="96"/>
      <c r="I305" s="96"/>
      <c r="J305" s="103"/>
      <c r="K305" s="105"/>
      <c r="L305" s="105"/>
      <c r="M305" s="105"/>
      <c r="N305" s="40"/>
      <c r="O305" s="40"/>
      <c r="P305" s="40"/>
    </row>
    <row r="306" spans="1:16" s="78" customFormat="1" hidden="1" x14ac:dyDescent="0.3">
      <c r="A306" s="14"/>
      <c r="B306" s="80"/>
      <c r="C306" s="93" t="s">
        <v>597</v>
      </c>
      <c r="D306" s="7"/>
      <c r="E306" s="7"/>
      <c r="F306" s="7"/>
      <c r="G306" s="7"/>
      <c r="H306" s="7"/>
      <c r="I306" s="7"/>
      <c r="J306" s="103"/>
      <c r="K306" s="35"/>
      <c r="L306" s="40"/>
      <c r="M306" s="40"/>
      <c r="N306" s="40"/>
      <c r="O306" s="40"/>
      <c r="P306" s="40"/>
    </row>
    <row r="307" spans="1:16" s="78" customFormat="1" hidden="1" x14ac:dyDescent="0.3">
      <c r="A307" s="14"/>
      <c r="B307" s="80"/>
      <c r="C307" s="93" t="s">
        <v>598</v>
      </c>
      <c r="D307" s="7"/>
      <c r="E307" s="7"/>
      <c r="F307" s="7"/>
      <c r="G307" s="7"/>
      <c r="H307" s="7"/>
      <c r="I307" s="7"/>
      <c r="J307" s="103"/>
      <c r="K307" s="35"/>
      <c r="L307" s="40"/>
      <c r="M307" s="40"/>
      <c r="N307" s="40"/>
      <c r="O307" s="40"/>
      <c r="P307" s="40"/>
    </row>
    <row r="308" spans="1:16" s="78" customFormat="1" hidden="1" x14ac:dyDescent="0.3">
      <c r="A308" s="14"/>
      <c r="B308" s="80"/>
      <c r="C308" s="93" t="s">
        <v>599</v>
      </c>
      <c r="D308" s="7"/>
      <c r="E308" s="7"/>
      <c r="F308" s="7"/>
      <c r="G308" s="7"/>
      <c r="H308" s="7"/>
      <c r="I308" s="7"/>
      <c r="J308" s="103"/>
      <c r="K308" s="35"/>
      <c r="L308" s="40"/>
      <c r="M308" s="40"/>
      <c r="N308" s="40"/>
      <c r="O308" s="40"/>
      <c r="P308" s="40"/>
    </row>
    <row r="309" spans="1:16" ht="115.5" customHeight="1" x14ac:dyDescent="0.3">
      <c r="A309" s="14" t="s">
        <v>428</v>
      </c>
      <c r="B309" s="29" t="s">
        <v>433</v>
      </c>
      <c r="C309" s="93">
        <v>74040</v>
      </c>
      <c r="D309" s="7">
        <v>396.3</v>
      </c>
      <c r="E309" s="7">
        <v>473.7</v>
      </c>
      <c r="F309" s="7"/>
      <c r="G309" s="7">
        <v>492.6</v>
      </c>
      <c r="H309" s="7"/>
      <c r="I309" s="7">
        <v>512.4</v>
      </c>
      <c r="J309" s="103"/>
      <c r="K309" s="35"/>
      <c r="L309" s="40"/>
      <c r="M309" s="40"/>
      <c r="N309" s="40"/>
      <c r="O309" s="40"/>
      <c r="P309" s="40"/>
    </row>
    <row r="310" spans="1:16" s="78" customFormat="1" hidden="1" x14ac:dyDescent="0.3">
      <c r="A310" s="14"/>
      <c r="B310" s="80"/>
      <c r="C310" s="93" t="s">
        <v>605</v>
      </c>
      <c r="D310" s="7"/>
      <c r="E310" s="7">
        <v>430.6</v>
      </c>
      <c r="F310" s="7">
        <f>SUM(E310:E311)</f>
        <v>473.70000000000005</v>
      </c>
      <c r="G310" s="7">
        <v>447.8</v>
      </c>
      <c r="H310" s="7">
        <f>SUM(G310:G311)</f>
        <v>492.6</v>
      </c>
      <c r="I310" s="7">
        <v>465.8</v>
      </c>
      <c r="J310" s="7">
        <f>SUM(I310:I311)</f>
        <v>512.4</v>
      </c>
      <c r="K310" s="35"/>
      <c r="L310" s="40"/>
      <c r="M310" s="40"/>
      <c r="N310" s="40"/>
      <c r="O310" s="40"/>
      <c r="P310" s="40"/>
    </row>
    <row r="311" spans="1:16" s="78" customFormat="1" hidden="1" x14ac:dyDescent="0.3">
      <c r="A311" s="14"/>
      <c r="B311" s="80"/>
      <c r="C311" s="93" t="s">
        <v>606</v>
      </c>
      <c r="D311" s="7"/>
      <c r="E311" s="7">
        <v>43.1</v>
      </c>
      <c r="F311" s="7"/>
      <c r="G311" s="7">
        <v>44.8</v>
      </c>
      <c r="H311" s="7"/>
      <c r="I311" s="7">
        <v>46.6</v>
      </c>
      <c r="J311" s="103"/>
      <c r="K311" s="35"/>
      <c r="L311" s="40"/>
      <c r="M311" s="40"/>
      <c r="N311" s="40"/>
      <c r="O311" s="40"/>
      <c r="P311" s="40"/>
    </row>
    <row r="312" spans="1:16" ht="124.5" hidden="1" customHeight="1" x14ac:dyDescent="0.3">
      <c r="A312" s="14" t="s">
        <v>428</v>
      </c>
      <c r="B312" s="29" t="s">
        <v>595</v>
      </c>
      <c r="C312" s="93">
        <v>74070</v>
      </c>
      <c r="D312" s="7"/>
      <c r="E312" s="96"/>
      <c r="F312" s="96"/>
      <c r="G312" s="96"/>
      <c r="H312" s="96"/>
      <c r="I312" s="96"/>
      <c r="J312" s="103"/>
      <c r="K312" s="105"/>
      <c r="L312" s="105"/>
      <c r="M312" s="105"/>
      <c r="N312" s="40"/>
      <c r="O312" s="40"/>
      <c r="P312" s="40"/>
    </row>
    <row r="313" spans="1:16" s="78" customFormat="1" hidden="1" x14ac:dyDescent="0.3">
      <c r="A313" s="14"/>
      <c r="B313" s="80"/>
      <c r="C313" s="93" t="s">
        <v>597</v>
      </c>
      <c r="D313" s="7"/>
      <c r="E313" s="7"/>
      <c r="F313" s="7"/>
      <c r="G313" s="7"/>
      <c r="H313" s="7"/>
      <c r="I313" s="7"/>
      <c r="J313" s="103"/>
      <c r="K313" s="35"/>
      <c r="L313" s="40"/>
      <c r="M313" s="40"/>
      <c r="N313" s="40"/>
      <c r="O313" s="40"/>
      <c r="P313" s="40"/>
    </row>
    <row r="314" spans="1:16" s="78" customFormat="1" hidden="1" x14ac:dyDescent="0.3">
      <c r="A314" s="14"/>
      <c r="B314" s="80"/>
      <c r="C314" s="93" t="s">
        <v>598</v>
      </c>
      <c r="D314" s="7"/>
      <c r="E314" s="7"/>
      <c r="F314" s="7"/>
      <c r="G314" s="7"/>
      <c r="H314" s="7"/>
      <c r="I314" s="7"/>
      <c r="J314" s="103"/>
      <c r="K314" s="35"/>
      <c r="L314" s="40"/>
      <c r="M314" s="40"/>
      <c r="N314" s="40"/>
      <c r="O314" s="40"/>
      <c r="P314" s="40"/>
    </row>
    <row r="315" spans="1:16" s="78" customFormat="1" hidden="1" x14ac:dyDescent="0.3">
      <c r="A315" s="14"/>
      <c r="B315" s="80"/>
      <c r="C315" s="93" t="s">
        <v>599</v>
      </c>
      <c r="D315" s="7"/>
      <c r="E315" s="7"/>
      <c r="F315" s="7"/>
      <c r="G315" s="7"/>
      <c r="H315" s="7"/>
      <c r="I315" s="7"/>
      <c r="J315" s="103"/>
      <c r="K315" s="35"/>
      <c r="L315" s="40"/>
      <c r="M315" s="40"/>
      <c r="N315" s="40"/>
      <c r="O315" s="40"/>
      <c r="P315" s="40"/>
    </row>
    <row r="316" spans="1:16" ht="116.25" hidden="1" customHeight="1" x14ac:dyDescent="0.3">
      <c r="A316" s="14" t="s">
        <v>428</v>
      </c>
      <c r="B316" s="29" t="s">
        <v>434</v>
      </c>
      <c r="C316" s="76">
        <v>74020</v>
      </c>
      <c r="D316" s="7"/>
      <c r="E316" s="96"/>
      <c r="F316" s="96"/>
      <c r="G316" s="96"/>
      <c r="H316" s="96"/>
      <c r="I316" s="96"/>
      <c r="J316" s="103"/>
      <c r="K316" s="105"/>
      <c r="L316" s="105"/>
      <c r="M316" s="105"/>
      <c r="N316" s="40"/>
      <c r="O316" s="40"/>
      <c r="P316" s="40"/>
    </row>
    <row r="317" spans="1:16" s="78" customFormat="1" hidden="1" x14ac:dyDescent="0.3">
      <c r="A317" s="14"/>
      <c r="B317" s="28"/>
      <c r="C317" s="90">
        <v>120</v>
      </c>
      <c r="D317" s="7"/>
      <c r="E317" s="7"/>
      <c r="F317" s="7"/>
      <c r="G317" s="7"/>
      <c r="H317" s="7"/>
      <c r="I317" s="7"/>
      <c r="J317" s="103"/>
      <c r="K317" s="35"/>
      <c r="L317" s="40"/>
      <c r="M317" s="40"/>
      <c r="N317" s="40"/>
      <c r="O317" s="40"/>
      <c r="P317" s="40"/>
    </row>
    <row r="318" spans="1:16" s="78" customFormat="1" hidden="1" x14ac:dyDescent="0.3">
      <c r="A318" s="14"/>
      <c r="B318" s="28"/>
      <c r="C318" s="90">
        <v>240</v>
      </c>
      <c r="D318" s="7"/>
      <c r="E318" s="7"/>
      <c r="F318" s="7"/>
      <c r="G318" s="7"/>
      <c r="H318" s="7"/>
      <c r="I318" s="7"/>
      <c r="J318" s="103"/>
      <c r="K318" s="35"/>
      <c r="L318" s="40"/>
      <c r="M318" s="40"/>
      <c r="N318" s="40"/>
      <c r="O318" s="40"/>
      <c r="P318" s="40"/>
    </row>
    <row r="319" spans="1:16" ht="115.5" customHeight="1" x14ac:dyDescent="0.3">
      <c r="A319" s="14" t="s">
        <v>428</v>
      </c>
      <c r="B319" s="29" t="s">
        <v>435</v>
      </c>
      <c r="C319" s="76">
        <v>74090</v>
      </c>
      <c r="D319" s="7">
        <v>2724</v>
      </c>
      <c r="E319" s="7">
        <v>3156.9</v>
      </c>
      <c r="F319" s="7"/>
      <c r="G319" s="7">
        <v>3283.3</v>
      </c>
      <c r="H319" s="7"/>
      <c r="I319" s="7">
        <v>3414.7</v>
      </c>
      <c r="J319" s="103"/>
      <c r="K319" s="35"/>
      <c r="L319" s="40"/>
      <c r="M319" s="40"/>
      <c r="N319" s="40"/>
      <c r="O319" s="40"/>
      <c r="P319" s="40"/>
    </row>
    <row r="320" spans="1:16" s="78" customFormat="1" hidden="1" x14ac:dyDescent="0.3">
      <c r="A320" s="14"/>
      <c r="B320" s="80"/>
      <c r="C320" s="76">
        <v>120</v>
      </c>
      <c r="D320" s="7"/>
      <c r="E320" s="7">
        <v>2869.9</v>
      </c>
      <c r="F320" s="7">
        <f>SUM(E320:E321)</f>
        <v>3156.9</v>
      </c>
      <c r="G320" s="7">
        <v>2984.8</v>
      </c>
      <c r="H320" s="7">
        <f>SUM(G320:G321)</f>
        <v>3283.3</v>
      </c>
      <c r="I320" s="7">
        <v>3104.3</v>
      </c>
      <c r="J320" s="7">
        <f>SUM(I320:I321)</f>
        <v>3414.7000000000003</v>
      </c>
      <c r="K320" s="35"/>
      <c r="L320" s="40"/>
      <c r="M320" s="40"/>
      <c r="N320" s="40"/>
      <c r="O320" s="40"/>
      <c r="P320" s="40"/>
    </row>
    <row r="321" spans="1:19" s="78" customFormat="1" hidden="1" x14ac:dyDescent="0.3">
      <c r="A321" s="14"/>
      <c r="B321" s="80"/>
      <c r="C321" s="76">
        <v>240</v>
      </c>
      <c r="D321" s="7"/>
      <c r="E321" s="7">
        <v>287</v>
      </c>
      <c r="F321" s="7"/>
      <c r="G321" s="7">
        <v>298.5</v>
      </c>
      <c r="H321" s="7"/>
      <c r="I321" s="7">
        <v>310.39999999999998</v>
      </c>
      <c r="J321" s="103"/>
      <c r="K321" s="35"/>
      <c r="L321" s="40"/>
      <c r="M321" s="40"/>
      <c r="N321" s="40"/>
      <c r="O321" s="40"/>
      <c r="P321" s="40"/>
    </row>
    <row r="322" spans="1:19" ht="169.5" customHeight="1" x14ac:dyDescent="0.3">
      <c r="A322" s="14" t="s">
        <v>428</v>
      </c>
      <c r="B322" s="29" t="s">
        <v>436</v>
      </c>
      <c r="C322" s="76">
        <v>74090</v>
      </c>
      <c r="D322" s="7">
        <v>1387.8</v>
      </c>
      <c r="E322" s="7">
        <v>789.2</v>
      </c>
      <c r="F322" s="7"/>
      <c r="G322" s="7">
        <v>820.8</v>
      </c>
      <c r="H322" s="7"/>
      <c r="I322" s="7">
        <v>853.7</v>
      </c>
      <c r="J322" s="103"/>
      <c r="K322" s="35"/>
      <c r="L322" s="40"/>
      <c r="M322" s="40"/>
      <c r="N322" s="40"/>
      <c r="O322" s="40"/>
      <c r="P322" s="40"/>
      <c r="Q322" s="40"/>
      <c r="R322" s="40"/>
      <c r="S322" s="40"/>
    </row>
    <row r="323" spans="1:19" s="78" customFormat="1" hidden="1" x14ac:dyDescent="0.3">
      <c r="A323" s="14"/>
      <c r="B323" s="80"/>
      <c r="C323" s="76">
        <v>120</v>
      </c>
      <c r="D323" s="7"/>
      <c r="E323" s="7">
        <v>717.5</v>
      </c>
      <c r="F323" s="7">
        <f>SUM(E323:E324)</f>
        <v>789.2</v>
      </c>
      <c r="G323" s="7">
        <v>746.2</v>
      </c>
      <c r="H323" s="7">
        <f>SUM(G323:G324)</f>
        <v>820.80000000000007</v>
      </c>
      <c r="I323" s="7">
        <v>776.1</v>
      </c>
      <c r="J323" s="7">
        <f>SUM(I323:I324)</f>
        <v>853.7</v>
      </c>
      <c r="K323" s="35"/>
      <c r="L323" s="40"/>
      <c r="M323" s="40"/>
      <c r="N323" s="40"/>
      <c r="O323" s="40"/>
      <c r="P323" s="40"/>
      <c r="Q323" s="40"/>
      <c r="R323" s="40"/>
      <c r="S323" s="40"/>
    </row>
    <row r="324" spans="1:19" s="78" customFormat="1" hidden="1" x14ac:dyDescent="0.3">
      <c r="A324" s="14"/>
      <c r="B324" s="80"/>
      <c r="C324" s="76">
        <v>240</v>
      </c>
      <c r="D324" s="7"/>
      <c r="E324" s="7">
        <v>71.7</v>
      </c>
      <c r="F324" s="7"/>
      <c r="G324" s="7">
        <v>74.599999999999994</v>
      </c>
      <c r="H324" s="7"/>
      <c r="I324" s="7">
        <v>77.599999999999994</v>
      </c>
      <c r="J324" s="103"/>
      <c r="K324" s="35"/>
      <c r="L324" s="40"/>
      <c r="M324" s="40"/>
      <c r="N324" s="40"/>
      <c r="O324" s="40"/>
      <c r="P324" s="40"/>
      <c r="Q324" s="40"/>
      <c r="R324" s="40"/>
      <c r="S324" s="40"/>
    </row>
    <row r="325" spans="1:19" ht="87.75" hidden="1" customHeight="1" x14ac:dyDescent="0.3">
      <c r="A325" s="14" t="s">
        <v>428</v>
      </c>
      <c r="B325" s="29" t="s">
        <v>437</v>
      </c>
      <c r="C325" s="76">
        <v>74120</v>
      </c>
      <c r="D325" s="7"/>
      <c r="E325" s="96"/>
      <c r="F325" s="96"/>
      <c r="G325" s="96"/>
      <c r="H325" s="96"/>
      <c r="I325" s="96"/>
      <c r="J325" s="103"/>
      <c r="K325" s="105"/>
      <c r="L325" s="105"/>
      <c r="M325" s="105"/>
      <c r="N325" s="40"/>
      <c r="O325" s="40"/>
      <c r="P325" s="40"/>
      <c r="Q325" s="40"/>
      <c r="R325" s="40"/>
      <c r="S325" s="40"/>
    </row>
    <row r="326" spans="1:19" ht="102" hidden="1" customHeight="1" x14ac:dyDescent="0.3">
      <c r="A326" s="14" t="s">
        <v>428</v>
      </c>
      <c r="B326" s="29" t="s">
        <v>438</v>
      </c>
      <c r="C326" s="76">
        <v>74050</v>
      </c>
      <c r="D326" s="7"/>
      <c r="E326" s="96"/>
      <c r="F326" s="96"/>
      <c r="G326" s="96"/>
      <c r="H326" s="96"/>
      <c r="I326" s="96"/>
      <c r="J326" s="103"/>
      <c r="K326" s="105"/>
      <c r="L326" s="105"/>
      <c r="M326" s="105"/>
      <c r="N326" s="40"/>
      <c r="O326" s="40"/>
      <c r="P326" s="40"/>
      <c r="Q326" s="40"/>
      <c r="R326" s="40"/>
      <c r="S326" s="40"/>
    </row>
    <row r="327" spans="1:19" ht="114" customHeight="1" x14ac:dyDescent="0.3">
      <c r="A327" s="14" t="s">
        <v>428</v>
      </c>
      <c r="B327" s="29" t="s">
        <v>439</v>
      </c>
      <c r="C327" s="76">
        <v>74010</v>
      </c>
      <c r="D327" s="7">
        <v>13855</v>
      </c>
      <c r="E327" s="7">
        <f>13568.4-1133.7</f>
        <v>12434.699999999999</v>
      </c>
      <c r="F327" s="7"/>
      <c r="G327" s="7">
        <v>13568.4</v>
      </c>
      <c r="H327" s="7"/>
      <c r="I327" s="7">
        <v>13568.4</v>
      </c>
      <c r="J327" s="103"/>
      <c r="K327" s="35"/>
      <c r="L327" s="40"/>
      <c r="M327" s="40"/>
      <c r="N327" s="40"/>
      <c r="O327" s="40"/>
      <c r="P327" s="40"/>
      <c r="Q327" s="40"/>
      <c r="R327" s="40"/>
      <c r="S327" s="40"/>
    </row>
    <row r="328" spans="1:19" s="78" customFormat="1" ht="20.100000000000001" hidden="1" customHeight="1" x14ac:dyDescent="0.3">
      <c r="A328" s="14"/>
      <c r="B328" s="80"/>
      <c r="C328" s="93" t="s">
        <v>597</v>
      </c>
      <c r="D328" s="7"/>
      <c r="E328" s="7">
        <v>3769</v>
      </c>
      <c r="F328" s="7"/>
      <c r="G328" s="7">
        <v>3769</v>
      </c>
      <c r="H328" s="7"/>
      <c r="I328" s="7">
        <v>3769</v>
      </c>
      <c r="J328" s="103"/>
      <c r="K328" s="35"/>
      <c r="L328" s="40"/>
      <c r="M328" s="40"/>
      <c r="N328" s="40"/>
      <c r="O328" s="40"/>
      <c r="P328" s="40"/>
      <c r="Q328" s="40"/>
      <c r="R328" s="40"/>
      <c r="S328" s="40"/>
    </row>
    <row r="329" spans="1:19" s="78" customFormat="1" ht="20.100000000000001" hidden="1" customHeight="1" x14ac:dyDescent="0.3">
      <c r="A329" s="14"/>
      <c r="B329" s="80"/>
      <c r="C329" s="93" t="s">
        <v>598</v>
      </c>
      <c r="D329" s="7"/>
      <c r="E329" s="7">
        <v>7873.1</v>
      </c>
      <c r="F329" s="7"/>
      <c r="G329" s="7">
        <v>7873.1</v>
      </c>
      <c r="H329" s="7"/>
      <c r="I329" s="7">
        <v>7873.1</v>
      </c>
      <c r="J329" s="103"/>
      <c r="K329" s="35"/>
      <c r="L329" s="40"/>
      <c r="M329" s="40"/>
      <c r="N329" s="40"/>
      <c r="O329" s="40"/>
      <c r="P329" s="40"/>
      <c r="Q329" s="40"/>
      <c r="R329" s="40"/>
      <c r="S329" s="40"/>
    </row>
    <row r="330" spans="1:19" s="78" customFormat="1" ht="20.100000000000001" hidden="1" customHeight="1" x14ac:dyDescent="0.3">
      <c r="A330" s="14"/>
      <c r="B330" s="80"/>
      <c r="C330" s="93" t="s">
        <v>599</v>
      </c>
      <c r="D330" s="7"/>
      <c r="E330" s="7">
        <f>E331+E333+E332</f>
        <v>1423.8</v>
      </c>
      <c r="F330" s="7">
        <f t="shared" ref="F330:I330" si="105">F331+F333+F332</f>
        <v>0</v>
      </c>
      <c r="G330" s="7">
        <f t="shared" si="105"/>
        <v>1423.8</v>
      </c>
      <c r="H330" s="7">
        <f t="shared" si="105"/>
        <v>0</v>
      </c>
      <c r="I330" s="7">
        <f t="shared" si="105"/>
        <v>1423.8</v>
      </c>
      <c r="J330" s="103"/>
      <c r="K330" s="35"/>
      <c r="L330" s="40"/>
      <c r="M330" s="40"/>
      <c r="N330" s="40"/>
      <c r="O330" s="40"/>
      <c r="P330" s="40"/>
      <c r="Q330" s="40"/>
      <c r="R330" s="40"/>
      <c r="S330" s="40"/>
    </row>
    <row r="331" spans="1:19" s="78" customFormat="1" hidden="1" x14ac:dyDescent="0.3">
      <c r="A331" s="14"/>
      <c r="B331" s="95">
        <v>214</v>
      </c>
      <c r="C331" s="93"/>
      <c r="D331" s="7"/>
      <c r="E331" s="7">
        <v>83.7</v>
      </c>
      <c r="F331" s="7"/>
      <c r="G331" s="7">
        <v>83.7</v>
      </c>
      <c r="H331" s="7"/>
      <c r="I331" s="7">
        <v>83.7</v>
      </c>
      <c r="J331" s="103"/>
      <c r="K331" s="35"/>
      <c r="L331" s="40"/>
      <c r="M331" s="40"/>
      <c r="N331" s="40"/>
      <c r="O331" s="40"/>
      <c r="P331" s="40"/>
      <c r="Q331" s="40"/>
      <c r="R331" s="40"/>
      <c r="S331" s="40"/>
    </row>
    <row r="332" spans="1:19" s="78" customFormat="1" hidden="1" x14ac:dyDescent="0.3">
      <c r="A332" s="14"/>
      <c r="B332" s="95">
        <v>260</v>
      </c>
      <c r="C332" s="93"/>
      <c r="D332" s="7"/>
      <c r="E332" s="7">
        <v>418.8</v>
      </c>
      <c r="F332" s="7"/>
      <c r="G332" s="7">
        <v>418.8</v>
      </c>
      <c r="H332" s="7"/>
      <c r="I332" s="7">
        <v>418.8</v>
      </c>
      <c r="J332" s="103"/>
      <c r="K332" s="35"/>
      <c r="L332" s="40"/>
      <c r="M332" s="40"/>
      <c r="N332" s="40"/>
      <c r="O332" s="40"/>
      <c r="P332" s="40"/>
      <c r="Q332" s="40"/>
      <c r="R332" s="40"/>
      <c r="S332" s="40"/>
    </row>
    <row r="333" spans="1:19" s="78" customFormat="1" hidden="1" x14ac:dyDescent="0.3">
      <c r="A333" s="14"/>
      <c r="B333" s="95" t="s">
        <v>624</v>
      </c>
      <c r="C333" s="93"/>
      <c r="D333" s="7"/>
      <c r="E333" s="7">
        <v>921.3</v>
      </c>
      <c r="F333" s="7"/>
      <c r="G333" s="7">
        <v>921.3</v>
      </c>
      <c r="H333" s="7"/>
      <c r="I333" s="7">
        <v>921.3</v>
      </c>
      <c r="J333" s="103"/>
      <c r="K333" s="35"/>
      <c r="L333" s="40"/>
      <c r="M333" s="40"/>
      <c r="N333" s="40"/>
      <c r="O333" s="40"/>
      <c r="P333" s="40"/>
      <c r="Q333" s="40"/>
      <c r="R333" s="40"/>
      <c r="S333" s="40"/>
    </row>
    <row r="334" spans="1:19" s="78" customFormat="1" ht="20.100000000000001" hidden="1" customHeight="1" x14ac:dyDescent="0.3">
      <c r="A334" s="14"/>
      <c r="B334" s="80"/>
      <c r="C334" s="93" t="s">
        <v>600</v>
      </c>
      <c r="D334" s="7"/>
      <c r="E334" s="7">
        <v>502.5</v>
      </c>
      <c r="F334" s="7"/>
      <c r="G334" s="7">
        <v>502.5</v>
      </c>
      <c r="H334" s="7"/>
      <c r="I334" s="7">
        <v>502.5</v>
      </c>
      <c r="J334" s="103"/>
      <c r="K334" s="35"/>
      <c r="L334" s="40"/>
      <c r="M334" s="40"/>
      <c r="N334" s="40"/>
      <c r="O334" s="40"/>
      <c r="P334" s="40"/>
      <c r="Q334" s="40"/>
      <c r="R334" s="40"/>
      <c r="S334" s="40"/>
    </row>
    <row r="335" spans="1:19" ht="118.5" customHeight="1" x14ac:dyDescent="0.3">
      <c r="A335" s="14" t="s">
        <v>428</v>
      </c>
      <c r="B335" s="29" t="s">
        <v>440</v>
      </c>
      <c r="C335" s="76">
        <v>74010</v>
      </c>
      <c r="D335" s="7">
        <v>2426.3000000000002</v>
      </c>
      <c r="E335" s="7">
        <v>2819.7</v>
      </c>
      <c r="F335" s="7"/>
      <c r="G335" s="7">
        <v>2819.7</v>
      </c>
      <c r="H335" s="7"/>
      <c r="I335" s="7">
        <v>2819.7</v>
      </c>
      <c r="J335" s="103"/>
      <c r="K335" s="35"/>
      <c r="L335" s="40"/>
      <c r="M335" s="40"/>
      <c r="N335" s="40"/>
      <c r="O335" s="40"/>
      <c r="P335" s="40"/>
      <c r="Q335" s="40"/>
      <c r="R335" s="40"/>
      <c r="S335" s="40"/>
    </row>
    <row r="336" spans="1:19" s="78" customFormat="1" ht="20.100000000000001" hidden="1" customHeight="1" x14ac:dyDescent="0.3">
      <c r="A336" s="14"/>
      <c r="B336" s="80"/>
      <c r="C336" s="76" t="s">
        <v>601</v>
      </c>
      <c r="D336" s="7"/>
      <c r="E336" s="7">
        <v>1879.8</v>
      </c>
      <c r="F336" s="7">
        <f>SUM(E336:E337)</f>
        <v>2819.2</v>
      </c>
      <c r="G336" s="7">
        <v>1879.8</v>
      </c>
      <c r="H336" s="7">
        <f>SUM(G336:G337)</f>
        <v>2819.7</v>
      </c>
      <c r="I336" s="7">
        <v>1879.8</v>
      </c>
      <c r="J336" s="7">
        <f>SUM(I336:I337)</f>
        <v>2819.7</v>
      </c>
      <c r="K336" s="35"/>
      <c r="L336" s="40"/>
      <c r="M336" s="40"/>
      <c r="N336" s="40"/>
      <c r="O336" s="40"/>
      <c r="P336" s="40"/>
    </row>
    <row r="337" spans="1:16" s="78" customFormat="1" ht="20.100000000000001" hidden="1" customHeight="1" x14ac:dyDescent="0.3">
      <c r="A337" s="14"/>
      <c r="B337" s="80"/>
      <c r="C337" s="76" t="s">
        <v>602</v>
      </c>
      <c r="D337" s="7"/>
      <c r="E337" s="7">
        <v>939.4</v>
      </c>
      <c r="F337" s="7"/>
      <c r="G337" s="7">
        <v>939.9</v>
      </c>
      <c r="H337" s="7"/>
      <c r="I337" s="7">
        <v>939.9</v>
      </c>
      <c r="J337" s="103"/>
      <c r="K337" s="35"/>
      <c r="L337" s="40"/>
      <c r="M337" s="40"/>
      <c r="N337" s="40"/>
      <c r="O337" s="40"/>
      <c r="P337" s="40"/>
    </row>
    <row r="338" spans="1:16" ht="116.25" customHeight="1" x14ac:dyDescent="0.3">
      <c r="A338" s="14" t="s">
        <v>428</v>
      </c>
      <c r="B338" s="29" t="s">
        <v>441</v>
      </c>
      <c r="C338" s="76">
        <v>74010</v>
      </c>
      <c r="D338" s="7">
        <f>660-82.5</f>
        <v>577.5</v>
      </c>
      <c r="E338" s="7">
        <v>564</v>
      </c>
      <c r="F338" s="7"/>
      <c r="G338" s="7">
        <v>564</v>
      </c>
      <c r="H338" s="7"/>
      <c r="I338" s="7">
        <v>564</v>
      </c>
      <c r="J338" s="103"/>
      <c r="K338" s="36"/>
      <c r="L338" s="40"/>
      <c r="M338" s="40"/>
      <c r="N338" s="40"/>
      <c r="O338" s="40"/>
      <c r="P338" s="40"/>
    </row>
    <row r="339" spans="1:16" s="78" customFormat="1" ht="17.25" hidden="1" customHeight="1" x14ac:dyDescent="0.3">
      <c r="A339" s="14"/>
      <c r="B339" s="80"/>
      <c r="C339" s="76" t="s">
        <v>603</v>
      </c>
      <c r="D339" s="7"/>
      <c r="E339" s="7"/>
      <c r="F339" s="7"/>
      <c r="G339" s="7"/>
      <c r="H339" s="7"/>
      <c r="I339" s="7"/>
      <c r="J339" s="103"/>
      <c r="K339" s="36"/>
      <c r="L339" s="40"/>
      <c r="M339" s="40"/>
      <c r="N339" s="40"/>
      <c r="O339" s="40"/>
      <c r="P339" s="40"/>
    </row>
    <row r="340" spans="1:16" s="78" customFormat="1" ht="16.5" hidden="1" customHeight="1" x14ac:dyDescent="0.3">
      <c r="A340" s="14"/>
      <c r="B340" s="80"/>
      <c r="C340" s="76" t="s">
        <v>604</v>
      </c>
      <c r="D340" s="7"/>
      <c r="E340" s="7">
        <v>564</v>
      </c>
      <c r="F340" s="7"/>
      <c r="G340" s="7">
        <v>564</v>
      </c>
      <c r="H340" s="7"/>
      <c r="I340" s="7">
        <v>564</v>
      </c>
      <c r="J340" s="103"/>
      <c r="K340" s="36"/>
      <c r="L340" s="40"/>
      <c r="M340" s="40"/>
      <c r="N340" s="40"/>
      <c r="O340" s="40"/>
      <c r="P340" s="40"/>
    </row>
    <row r="341" spans="1:16" ht="165.75" hidden="1" customHeight="1" x14ac:dyDescent="0.3">
      <c r="A341" s="14" t="s">
        <v>428</v>
      </c>
      <c r="B341" s="29" t="s">
        <v>442</v>
      </c>
      <c r="C341" s="76" t="s">
        <v>608</v>
      </c>
      <c r="D341" s="7">
        <f>2173-2173</f>
        <v>0</v>
      </c>
      <c r="E341" s="7">
        <v>0</v>
      </c>
      <c r="F341" s="7"/>
      <c r="G341" s="7"/>
      <c r="H341" s="7"/>
      <c r="I341" s="7"/>
      <c r="J341" s="103"/>
      <c r="K341" s="35"/>
      <c r="L341" s="40"/>
      <c r="M341" s="40"/>
      <c r="N341" s="40"/>
      <c r="O341" s="40"/>
      <c r="P341" s="40"/>
    </row>
    <row r="342" spans="1:16" s="78" customFormat="1" ht="153" customHeight="1" x14ac:dyDescent="0.3">
      <c r="A342" s="14" t="s">
        <v>428</v>
      </c>
      <c r="B342" s="29" t="s">
        <v>444</v>
      </c>
      <c r="C342" s="76">
        <v>74180</v>
      </c>
      <c r="D342" s="7">
        <f>23.3-23.3</f>
        <v>0</v>
      </c>
      <c r="E342" s="7">
        <v>40</v>
      </c>
      <c r="F342" s="7"/>
      <c r="G342" s="7">
        <v>41.6</v>
      </c>
      <c r="H342" s="7"/>
      <c r="I342" s="7">
        <v>43.2</v>
      </c>
      <c r="J342" s="103"/>
      <c r="K342" s="35"/>
      <c r="L342" s="40"/>
      <c r="M342" s="40"/>
      <c r="N342" s="40"/>
      <c r="O342" s="40"/>
      <c r="P342" s="40"/>
    </row>
    <row r="343" spans="1:16" s="78" customFormat="1" ht="18.75" hidden="1" customHeight="1" x14ac:dyDescent="0.3">
      <c r="A343" s="14" t="s">
        <v>428</v>
      </c>
      <c r="B343" s="80" t="s">
        <v>632</v>
      </c>
      <c r="C343" s="76"/>
      <c r="D343" s="7">
        <f>D345+D346+D347+D351+D355</f>
        <v>236945.9</v>
      </c>
      <c r="E343" s="7"/>
      <c r="F343" s="7"/>
      <c r="G343" s="7"/>
      <c r="H343" s="7"/>
      <c r="I343" s="7"/>
      <c r="J343" s="103"/>
      <c r="K343" s="35"/>
      <c r="L343" s="40"/>
      <c r="M343" s="40"/>
      <c r="N343" s="40"/>
      <c r="O343" s="40"/>
      <c r="P343" s="40"/>
    </row>
    <row r="344" spans="1:16" s="78" customFormat="1" ht="15.75" hidden="1" customHeight="1" x14ac:dyDescent="0.3">
      <c r="A344" s="14"/>
      <c r="B344" s="80"/>
      <c r="C344" s="76"/>
      <c r="D344" s="5">
        <f t="shared" ref="D344:I344" si="106">D345+D346+D347+D351+D355</f>
        <v>236945.9</v>
      </c>
      <c r="E344" s="111">
        <f t="shared" si="106"/>
        <v>241583.59</v>
      </c>
      <c r="F344" s="111">
        <f t="shared" si="106"/>
        <v>0</v>
      </c>
      <c r="G344" s="111">
        <f t="shared" si="106"/>
        <v>241646.89</v>
      </c>
      <c r="H344" s="111">
        <f t="shared" si="106"/>
        <v>0</v>
      </c>
      <c r="I344" s="111">
        <f t="shared" si="106"/>
        <v>212470.891</v>
      </c>
      <c r="J344" s="103"/>
      <c r="K344" s="35"/>
      <c r="L344" s="40"/>
      <c r="M344" s="40"/>
      <c r="N344" s="40"/>
      <c r="O344" s="40"/>
      <c r="P344" s="40"/>
    </row>
    <row r="345" spans="1:16" s="78" customFormat="1" ht="17.25" hidden="1" customHeight="1" x14ac:dyDescent="0.3">
      <c r="A345" s="14"/>
      <c r="B345" s="95" t="s">
        <v>612</v>
      </c>
      <c r="C345" s="76"/>
      <c r="D345" s="7">
        <v>88072.1</v>
      </c>
      <c r="E345" s="7">
        <v>91183.8</v>
      </c>
      <c r="F345" s="7"/>
      <c r="G345" s="7">
        <v>91183.8</v>
      </c>
      <c r="H345" s="7"/>
      <c r="I345" s="7">
        <v>69418.2</v>
      </c>
      <c r="J345" s="103"/>
      <c r="K345" s="35"/>
      <c r="L345" s="40"/>
      <c r="M345" s="40"/>
      <c r="N345" s="40"/>
      <c r="O345" s="40"/>
      <c r="P345" s="40"/>
    </row>
    <row r="346" spans="1:16" s="78" customFormat="1" ht="17.25" hidden="1" customHeight="1" x14ac:dyDescent="0.3">
      <c r="A346" s="14"/>
      <c r="B346" s="95" t="s">
        <v>611</v>
      </c>
      <c r="C346" s="76"/>
      <c r="D346" s="7">
        <v>137399.20000000001</v>
      </c>
      <c r="E346" s="9">
        <v>141649.69</v>
      </c>
      <c r="F346" s="9"/>
      <c r="G346" s="9">
        <v>141649.69</v>
      </c>
      <c r="H346" s="9"/>
      <c r="I346" s="9">
        <v>133813.69099999999</v>
      </c>
      <c r="J346" s="103"/>
      <c r="K346" s="35"/>
      <c r="L346" s="40"/>
      <c r="M346" s="40"/>
      <c r="N346" s="40"/>
      <c r="O346" s="40"/>
      <c r="P346" s="40"/>
    </row>
    <row r="347" spans="1:16" s="78" customFormat="1" ht="20.25" hidden="1" customHeight="1" x14ac:dyDescent="0.3">
      <c r="A347" s="14"/>
      <c r="B347" s="95" t="s">
        <v>633</v>
      </c>
      <c r="C347" s="76"/>
      <c r="D347" s="7">
        <v>2207.9</v>
      </c>
      <c r="E347" s="7">
        <f>SUM(E348:E350)</f>
        <v>7171.7</v>
      </c>
      <c r="F347" s="7">
        <f t="shared" ref="F347:I347" si="107">SUM(F348:F350)</f>
        <v>0</v>
      </c>
      <c r="G347" s="7">
        <f t="shared" si="107"/>
        <v>7171.7</v>
      </c>
      <c r="H347" s="7">
        <f t="shared" si="107"/>
        <v>0</v>
      </c>
      <c r="I347" s="7">
        <f t="shared" si="107"/>
        <v>7171.7</v>
      </c>
      <c r="J347" s="103"/>
      <c r="K347" s="35"/>
      <c r="L347" s="40"/>
      <c r="M347" s="40"/>
      <c r="N347" s="40"/>
      <c r="O347" s="40"/>
      <c r="P347" s="40"/>
    </row>
    <row r="348" spans="1:16" s="78" customFormat="1" hidden="1" x14ac:dyDescent="0.3">
      <c r="A348" s="14"/>
      <c r="B348" s="94" t="s">
        <v>597</v>
      </c>
      <c r="C348" s="76"/>
      <c r="D348" s="7"/>
      <c r="E348" s="7">
        <v>2012.2</v>
      </c>
      <c r="F348" s="7"/>
      <c r="G348" s="7">
        <v>2012.2</v>
      </c>
      <c r="H348" s="7"/>
      <c r="I348" s="7">
        <v>2012.2</v>
      </c>
      <c r="J348" s="103"/>
      <c r="K348" s="35"/>
      <c r="L348" s="40"/>
      <c r="M348" s="40"/>
      <c r="N348" s="40"/>
      <c r="O348" s="40"/>
      <c r="P348" s="40"/>
    </row>
    <row r="349" spans="1:16" s="78" customFormat="1" hidden="1" x14ac:dyDescent="0.3">
      <c r="A349" s="14"/>
      <c r="B349" s="94" t="s">
        <v>598</v>
      </c>
      <c r="C349" s="76"/>
      <c r="D349" s="7"/>
      <c r="E349" s="7">
        <v>4190.3</v>
      </c>
      <c r="F349" s="7"/>
      <c r="G349" s="7">
        <v>4190.3</v>
      </c>
      <c r="H349" s="7"/>
      <c r="I349" s="7">
        <v>4190.3</v>
      </c>
      <c r="J349" s="103"/>
      <c r="K349" s="35"/>
      <c r="L349" s="40"/>
      <c r="M349" s="40"/>
      <c r="N349" s="40"/>
      <c r="O349" s="40"/>
      <c r="P349" s="40"/>
    </row>
    <row r="350" spans="1:16" s="78" customFormat="1" hidden="1" x14ac:dyDescent="0.3">
      <c r="A350" s="14"/>
      <c r="B350" s="94" t="s">
        <v>599</v>
      </c>
      <c r="C350" s="76"/>
      <c r="D350" s="7"/>
      <c r="E350" s="7">
        <v>969.2</v>
      </c>
      <c r="F350" s="7"/>
      <c r="G350" s="7">
        <v>969.2</v>
      </c>
      <c r="H350" s="7"/>
      <c r="I350" s="7">
        <v>969.2</v>
      </c>
      <c r="J350" s="103"/>
      <c r="K350" s="35"/>
      <c r="L350" s="40"/>
      <c r="M350" s="40"/>
      <c r="N350" s="40"/>
      <c r="O350" s="40"/>
      <c r="P350" s="40"/>
    </row>
    <row r="351" spans="1:16" s="78" customFormat="1" ht="37.5" hidden="1" customHeight="1" x14ac:dyDescent="0.3">
      <c r="A351" s="14"/>
      <c r="B351" s="95" t="s">
        <v>610</v>
      </c>
      <c r="C351" s="76"/>
      <c r="D351" s="7">
        <v>6543.3</v>
      </c>
      <c r="E351" s="7"/>
      <c r="F351" s="7"/>
      <c r="G351" s="7"/>
      <c r="H351" s="7"/>
      <c r="I351" s="7"/>
      <c r="J351" s="103"/>
      <c r="K351" s="35"/>
      <c r="L351" s="40"/>
      <c r="M351" s="40"/>
      <c r="N351" s="40"/>
      <c r="O351" s="40"/>
      <c r="P351" s="40"/>
    </row>
    <row r="352" spans="1:16" s="78" customFormat="1" hidden="1" x14ac:dyDescent="0.3">
      <c r="A352" s="14"/>
      <c r="B352" s="94" t="s">
        <v>597</v>
      </c>
      <c r="C352" s="76"/>
      <c r="D352" s="7"/>
      <c r="E352" s="7"/>
      <c r="F352" s="7"/>
      <c r="G352" s="7"/>
      <c r="H352" s="7"/>
      <c r="I352" s="7"/>
      <c r="J352" s="103"/>
      <c r="K352" s="35"/>
      <c r="L352" s="40"/>
      <c r="M352" s="40"/>
      <c r="N352" s="40"/>
      <c r="O352" s="40"/>
      <c r="P352" s="40"/>
    </row>
    <row r="353" spans="1:16" s="78" customFormat="1" hidden="1" x14ac:dyDescent="0.3">
      <c r="A353" s="14"/>
      <c r="B353" s="94" t="s">
        <v>598</v>
      </c>
      <c r="C353" s="76"/>
      <c r="D353" s="7"/>
      <c r="E353" s="7"/>
      <c r="F353" s="7"/>
      <c r="G353" s="7"/>
      <c r="H353" s="7"/>
      <c r="I353" s="7"/>
      <c r="J353" s="103"/>
      <c r="K353" s="35"/>
      <c r="L353" s="40"/>
      <c r="M353" s="40"/>
      <c r="N353" s="40"/>
      <c r="O353" s="40"/>
      <c r="P353" s="40"/>
    </row>
    <row r="354" spans="1:16" s="78" customFormat="1" hidden="1" x14ac:dyDescent="0.3">
      <c r="A354" s="14"/>
      <c r="B354" s="94" t="s">
        <v>599</v>
      </c>
      <c r="C354" s="76"/>
      <c r="D354" s="7"/>
      <c r="E354" s="7"/>
      <c r="F354" s="7"/>
      <c r="G354" s="7"/>
      <c r="H354" s="7"/>
      <c r="I354" s="7"/>
      <c r="J354" s="103"/>
      <c r="K354" s="35"/>
      <c r="L354" s="40"/>
      <c r="M354" s="40"/>
      <c r="N354" s="40"/>
      <c r="O354" s="40"/>
      <c r="P354" s="40"/>
    </row>
    <row r="355" spans="1:16" s="78" customFormat="1" ht="24" hidden="1" customHeight="1" x14ac:dyDescent="0.3">
      <c r="A355" s="14"/>
      <c r="B355" s="95" t="s">
        <v>609</v>
      </c>
      <c r="C355" s="76"/>
      <c r="D355" s="7">
        <v>2723.4</v>
      </c>
      <c r="E355" s="7">
        <f>SUM(E356:E357)</f>
        <v>1578.4</v>
      </c>
      <c r="F355" s="7"/>
      <c r="G355" s="7">
        <f t="shared" ref="G355:I355" si="108">SUM(G356:G357)</f>
        <v>1641.7</v>
      </c>
      <c r="H355" s="7"/>
      <c r="I355" s="7">
        <f t="shared" si="108"/>
        <v>2067.2999999999997</v>
      </c>
      <c r="J355" s="103"/>
      <c r="K355" s="35"/>
      <c r="L355" s="40"/>
      <c r="M355" s="40"/>
      <c r="N355" s="40"/>
      <c r="O355" s="40"/>
      <c r="P355" s="40"/>
    </row>
    <row r="356" spans="1:16" s="78" customFormat="1" hidden="1" x14ac:dyDescent="0.3">
      <c r="A356" s="14"/>
      <c r="B356" s="76"/>
      <c r="C356" s="76">
        <v>120</v>
      </c>
      <c r="D356" s="7"/>
      <c r="E356" s="7">
        <v>1434.9</v>
      </c>
      <c r="F356" s="7">
        <f>SUM(E356:E357)</f>
        <v>1578.4</v>
      </c>
      <c r="G356" s="7">
        <v>1492.5</v>
      </c>
      <c r="H356" s="7">
        <f>SUM(G356:G357)</f>
        <v>1641.7</v>
      </c>
      <c r="I356" s="7">
        <v>1912.1</v>
      </c>
      <c r="J356" s="7">
        <f>SUM(I356:I357)</f>
        <v>2067.2999999999997</v>
      </c>
      <c r="K356" s="35"/>
      <c r="L356" s="40"/>
      <c r="M356" s="40"/>
      <c r="N356" s="40"/>
      <c r="O356" s="40"/>
      <c r="P356" s="40"/>
    </row>
    <row r="357" spans="1:16" s="78" customFormat="1" ht="15.75" hidden="1" customHeight="1" x14ac:dyDescent="0.3">
      <c r="A357" s="14"/>
      <c r="B357" s="76"/>
      <c r="C357" s="76">
        <v>240</v>
      </c>
      <c r="D357" s="7"/>
      <c r="E357" s="7">
        <v>143.5</v>
      </c>
      <c r="F357" s="7"/>
      <c r="G357" s="7">
        <v>149.19999999999999</v>
      </c>
      <c r="H357" s="7"/>
      <c r="I357" s="7">
        <v>155.19999999999999</v>
      </c>
      <c r="J357" s="103"/>
      <c r="K357" s="35"/>
      <c r="L357" s="40"/>
      <c r="M357" s="40"/>
      <c r="N357" s="40"/>
      <c r="O357" s="40"/>
      <c r="P357" s="40"/>
    </row>
    <row r="358" spans="1:16" ht="53.25" customHeight="1" x14ac:dyDescent="0.3">
      <c r="A358" s="14" t="s">
        <v>428</v>
      </c>
      <c r="B358" s="29" t="s">
        <v>443</v>
      </c>
      <c r="C358" s="76">
        <v>74030</v>
      </c>
      <c r="D358" s="7">
        <v>1334.3</v>
      </c>
      <c r="E358" s="7">
        <v>1578.6</v>
      </c>
      <c r="F358" s="7"/>
      <c r="G358" s="7">
        <v>1641.8</v>
      </c>
      <c r="H358" s="7"/>
      <c r="I358" s="7">
        <v>1707.6</v>
      </c>
      <c r="J358" s="103"/>
      <c r="K358" s="35"/>
      <c r="L358" s="40"/>
      <c r="M358" s="40"/>
      <c r="N358" s="40"/>
      <c r="O358" s="40"/>
      <c r="P358" s="40"/>
    </row>
    <row r="359" spans="1:16" s="78" customFormat="1" ht="18" hidden="1" customHeight="1" x14ac:dyDescent="0.3">
      <c r="A359" s="14"/>
      <c r="B359" s="80"/>
      <c r="C359" s="76">
        <v>120</v>
      </c>
      <c r="D359" s="7"/>
      <c r="E359" s="7">
        <v>1435.1</v>
      </c>
      <c r="F359" s="7">
        <f>SUM(E359:E360)</f>
        <v>1578.6</v>
      </c>
      <c r="G359" s="7">
        <v>1492.5</v>
      </c>
      <c r="H359" s="7">
        <f>SUM(G359:G360)</f>
        <v>1641.8</v>
      </c>
      <c r="I359" s="7">
        <v>1552.3</v>
      </c>
      <c r="J359" s="7">
        <f>SUM(I359:I360)</f>
        <v>1707.6</v>
      </c>
      <c r="K359" s="35"/>
      <c r="L359" s="40"/>
      <c r="M359" s="40"/>
      <c r="N359" s="40"/>
      <c r="O359" s="40"/>
      <c r="P359" s="40"/>
    </row>
    <row r="360" spans="1:16" s="78" customFormat="1" hidden="1" x14ac:dyDescent="0.3">
      <c r="A360" s="14"/>
      <c r="B360" s="80"/>
      <c r="C360" s="76">
        <v>240</v>
      </c>
      <c r="D360" s="7"/>
      <c r="E360" s="7">
        <v>143.5</v>
      </c>
      <c r="F360" s="7"/>
      <c r="G360" s="7">
        <v>149.30000000000001</v>
      </c>
      <c r="H360" s="7"/>
      <c r="I360" s="7">
        <v>155.30000000000001</v>
      </c>
      <c r="J360" s="103"/>
      <c r="K360" s="35"/>
      <c r="L360" s="40"/>
      <c r="M360" s="40"/>
      <c r="N360" s="40"/>
      <c r="O360" s="40"/>
      <c r="P360" s="40"/>
    </row>
    <row r="361" spans="1:16" ht="66" customHeight="1" x14ac:dyDescent="0.3">
      <c r="A361" s="14" t="s">
        <v>445</v>
      </c>
      <c r="B361" s="29" t="s">
        <v>446</v>
      </c>
      <c r="C361" s="76"/>
      <c r="D361" s="7">
        <f>D362</f>
        <v>22</v>
      </c>
      <c r="E361" s="7">
        <f t="shared" ref="E361:J361" si="109">E362</f>
        <v>54.1</v>
      </c>
      <c r="F361" s="7">
        <f t="shared" si="109"/>
        <v>0</v>
      </c>
      <c r="G361" s="7">
        <f t="shared" si="109"/>
        <v>11.1</v>
      </c>
      <c r="H361" s="7">
        <f t="shared" si="109"/>
        <v>0</v>
      </c>
      <c r="I361" s="7">
        <f t="shared" si="109"/>
        <v>9.6</v>
      </c>
      <c r="J361" s="7">
        <f t="shared" si="109"/>
        <v>0</v>
      </c>
      <c r="K361" s="35"/>
      <c r="L361" s="40"/>
      <c r="M361" s="40"/>
      <c r="N361" s="40"/>
      <c r="O361" s="40"/>
      <c r="P361" s="40"/>
    </row>
    <row r="362" spans="1:16" ht="64.5" customHeight="1" x14ac:dyDescent="0.3">
      <c r="A362" s="14" t="s">
        <v>447</v>
      </c>
      <c r="B362" s="29" t="s">
        <v>448</v>
      </c>
      <c r="C362" s="76">
        <v>51200</v>
      </c>
      <c r="D362" s="7">
        <v>22</v>
      </c>
      <c r="E362" s="7">
        <v>54.1</v>
      </c>
      <c r="F362" s="7"/>
      <c r="G362" s="7">
        <v>11.1</v>
      </c>
      <c r="H362" s="7"/>
      <c r="I362" s="7">
        <v>9.6</v>
      </c>
      <c r="J362" s="103"/>
      <c r="K362" s="35"/>
      <c r="L362" s="40"/>
      <c r="M362" s="40"/>
      <c r="N362" s="40"/>
      <c r="O362" s="40"/>
      <c r="P362" s="40"/>
    </row>
    <row r="363" spans="1:16" ht="39.75" customHeight="1" x14ac:dyDescent="0.3">
      <c r="A363" s="14" t="s">
        <v>449</v>
      </c>
      <c r="B363" s="29" t="s">
        <v>450</v>
      </c>
      <c r="C363" s="76"/>
      <c r="D363" s="7">
        <f>D364</f>
        <v>885.1</v>
      </c>
      <c r="E363" s="7">
        <f t="shared" ref="E363:I363" si="110">E364</f>
        <v>991.6</v>
      </c>
      <c r="F363" s="7"/>
      <c r="G363" s="7">
        <f t="shared" si="110"/>
        <v>888.4</v>
      </c>
      <c r="H363" s="7"/>
      <c r="I363" s="7">
        <f t="shared" si="110"/>
        <v>922.5</v>
      </c>
      <c r="J363" s="103"/>
      <c r="K363" s="35"/>
      <c r="L363" s="40"/>
      <c r="M363" s="40"/>
      <c r="N363" s="40"/>
      <c r="O363" s="40"/>
      <c r="P363" s="40"/>
    </row>
    <row r="364" spans="1:16" ht="42.75" customHeight="1" x14ac:dyDescent="0.3">
      <c r="A364" s="14" t="s">
        <v>451</v>
      </c>
      <c r="B364" s="29" t="s">
        <v>452</v>
      </c>
      <c r="C364" s="76">
        <v>59300</v>
      </c>
      <c r="D364" s="7">
        <f>984.6-99.5</f>
        <v>885.1</v>
      </c>
      <c r="E364" s="7">
        <v>991.6</v>
      </c>
      <c r="F364" s="7"/>
      <c r="G364" s="7">
        <v>888.4</v>
      </c>
      <c r="H364" s="7"/>
      <c r="I364" s="7">
        <v>922.5</v>
      </c>
      <c r="J364" s="103"/>
      <c r="K364" s="35"/>
      <c r="L364" s="40"/>
      <c r="M364" s="40"/>
      <c r="N364" s="40"/>
      <c r="O364" s="40"/>
      <c r="P364" s="40"/>
    </row>
    <row r="365" spans="1:16" s="78" customFormat="1" ht="20.100000000000001" hidden="1" customHeight="1" x14ac:dyDescent="0.3">
      <c r="A365" s="14"/>
      <c r="B365" s="80"/>
      <c r="C365" s="76">
        <v>121</v>
      </c>
      <c r="D365" s="7"/>
      <c r="E365" s="7">
        <v>761.6</v>
      </c>
      <c r="F365" s="7">
        <f>SUM(E365:E366)</f>
        <v>991.6</v>
      </c>
      <c r="G365" s="7">
        <v>682.3</v>
      </c>
      <c r="H365" s="7">
        <f>SUM(G365:G366)</f>
        <v>888.4</v>
      </c>
      <c r="I365" s="7">
        <v>708.5</v>
      </c>
      <c r="J365" s="7">
        <f>SUM(I365:I366)</f>
        <v>922.5</v>
      </c>
      <c r="K365" s="35"/>
      <c r="L365" s="40"/>
      <c r="M365" s="40"/>
      <c r="N365" s="40"/>
      <c r="O365" s="40"/>
      <c r="P365" s="40"/>
    </row>
    <row r="366" spans="1:16" s="78" customFormat="1" ht="20.100000000000001" hidden="1" customHeight="1" x14ac:dyDescent="0.3">
      <c r="A366" s="14"/>
      <c r="B366" s="80"/>
      <c r="C366" s="76">
        <v>129</v>
      </c>
      <c r="D366" s="7"/>
      <c r="E366" s="7">
        <v>230</v>
      </c>
      <c r="F366" s="7"/>
      <c r="G366" s="7">
        <v>206.1</v>
      </c>
      <c r="H366" s="7"/>
      <c r="I366" s="7">
        <v>214</v>
      </c>
      <c r="J366" s="103"/>
      <c r="K366" s="35"/>
      <c r="L366" s="40"/>
      <c r="M366" s="40"/>
      <c r="N366" s="40"/>
      <c r="O366" s="40"/>
      <c r="P366" s="40"/>
    </row>
    <row r="367" spans="1:16" ht="43.5" hidden="1" customHeight="1" x14ac:dyDescent="0.3">
      <c r="A367" s="14" t="s">
        <v>453</v>
      </c>
      <c r="B367" s="29" t="s">
        <v>454</v>
      </c>
      <c r="C367" s="76"/>
      <c r="D367" s="7">
        <f>D368</f>
        <v>105.9</v>
      </c>
      <c r="E367" s="7">
        <f t="shared" ref="E367" si="111">E368</f>
        <v>0</v>
      </c>
      <c r="F367" s="7"/>
      <c r="G367" s="7">
        <f t="shared" ref="G367:I367" si="112">G368</f>
        <v>0</v>
      </c>
      <c r="H367" s="7"/>
      <c r="I367" s="7">
        <f t="shared" si="112"/>
        <v>0</v>
      </c>
      <c r="J367" s="103"/>
      <c r="K367" s="35"/>
      <c r="L367" s="40"/>
      <c r="M367" s="40"/>
      <c r="N367" s="40"/>
      <c r="O367" s="40"/>
      <c r="P367" s="40"/>
    </row>
    <row r="368" spans="1:16" ht="39.75" hidden="1" customHeight="1" x14ac:dyDescent="0.3">
      <c r="A368" s="14" t="s">
        <v>455</v>
      </c>
      <c r="B368" s="29" t="s">
        <v>456</v>
      </c>
      <c r="C368" s="76"/>
      <c r="D368" s="7">
        <v>105.9</v>
      </c>
      <c r="E368" s="7"/>
      <c r="F368" s="7"/>
      <c r="G368" s="7"/>
      <c r="H368" s="7"/>
      <c r="I368" s="7"/>
      <c r="J368" s="103"/>
      <c r="K368" s="35"/>
      <c r="L368" s="40"/>
      <c r="M368" s="40"/>
      <c r="N368" s="40"/>
      <c r="O368" s="40"/>
      <c r="P368" s="40"/>
    </row>
    <row r="369" spans="1:16" s="78" customFormat="1" ht="39.75" customHeight="1" x14ac:dyDescent="0.3">
      <c r="A369" s="14" t="s">
        <v>641</v>
      </c>
      <c r="B369" s="80" t="s">
        <v>642</v>
      </c>
      <c r="C369" s="76"/>
      <c r="D369" s="7"/>
      <c r="E369" s="7">
        <f>E370</f>
        <v>241583.6</v>
      </c>
      <c r="F369" s="7">
        <f t="shared" ref="F369:I369" si="113">F370</f>
        <v>0</v>
      </c>
      <c r="G369" s="7">
        <f t="shared" si="113"/>
        <v>241646.9</v>
      </c>
      <c r="H369" s="7">
        <f t="shared" si="113"/>
        <v>0</v>
      </c>
      <c r="I369" s="7">
        <f t="shared" si="113"/>
        <v>212470.9</v>
      </c>
      <c r="J369" s="103"/>
      <c r="K369" s="35"/>
      <c r="L369" s="40"/>
      <c r="M369" s="40"/>
      <c r="N369" s="40"/>
      <c r="O369" s="40"/>
      <c r="P369" s="40"/>
    </row>
    <row r="370" spans="1:16" s="78" customFormat="1" ht="39.75" customHeight="1" x14ac:dyDescent="0.3">
      <c r="A370" s="14" t="s">
        <v>643</v>
      </c>
      <c r="B370" s="80" t="s">
        <v>644</v>
      </c>
      <c r="C370" s="76"/>
      <c r="D370" s="7"/>
      <c r="E370" s="7">
        <v>241583.6</v>
      </c>
      <c r="F370" s="7"/>
      <c r="G370" s="7">
        <v>241646.9</v>
      </c>
      <c r="H370" s="7"/>
      <c r="I370" s="7">
        <v>212470.9</v>
      </c>
      <c r="J370" s="103"/>
      <c r="K370" s="35"/>
      <c r="L370" s="40"/>
      <c r="M370" s="40"/>
      <c r="N370" s="40"/>
      <c r="O370" s="40"/>
      <c r="P370" s="40"/>
    </row>
    <row r="371" spans="1:16" ht="25.5" customHeight="1" x14ac:dyDescent="0.3">
      <c r="A371" s="66" t="s">
        <v>457</v>
      </c>
      <c r="B371" s="67" t="s">
        <v>458</v>
      </c>
      <c r="C371" s="77"/>
      <c r="D371" s="5">
        <f>D380+D376+D374+D372</f>
        <v>10569.7</v>
      </c>
      <c r="E371" s="5">
        <f>E380+E376+E374+E372+E378</f>
        <v>19489.3</v>
      </c>
      <c r="F371" s="5"/>
      <c r="G371" s="5">
        <f t="shared" ref="G371:I371" si="114">G380+G376+G374+G372</f>
        <v>9765</v>
      </c>
      <c r="H371" s="5"/>
      <c r="I371" s="5">
        <f t="shared" si="114"/>
        <v>9765</v>
      </c>
      <c r="J371" s="103"/>
      <c r="K371" s="35"/>
      <c r="L371" s="40"/>
      <c r="M371" s="40"/>
      <c r="N371" s="40"/>
      <c r="O371" s="40"/>
      <c r="P371" s="40"/>
    </row>
    <row r="372" spans="1:16" ht="63.75" customHeight="1" x14ac:dyDescent="0.3">
      <c r="A372" s="66" t="s">
        <v>523</v>
      </c>
      <c r="B372" s="30" t="s">
        <v>524</v>
      </c>
      <c r="C372" s="77"/>
      <c r="D372" s="5">
        <f>D373</f>
        <v>1000</v>
      </c>
      <c r="E372" s="5">
        <f t="shared" ref="E372:I372" si="115">E373</f>
        <v>0</v>
      </c>
      <c r="F372" s="5"/>
      <c r="G372" s="5">
        <f t="shared" si="115"/>
        <v>0</v>
      </c>
      <c r="H372" s="5"/>
      <c r="I372" s="5">
        <f t="shared" si="115"/>
        <v>0</v>
      </c>
      <c r="J372" s="103"/>
      <c r="K372" s="35"/>
      <c r="L372" s="40"/>
      <c r="M372" s="40"/>
      <c r="N372" s="40"/>
      <c r="O372" s="40"/>
      <c r="P372" s="40"/>
    </row>
    <row r="373" spans="1:16" ht="64.5" customHeight="1" x14ac:dyDescent="0.3">
      <c r="A373" s="70" t="s">
        <v>525</v>
      </c>
      <c r="B373" s="29" t="s">
        <v>526</v>
      </c>
      <c r="C373" s="76"/>
      <c r="D373" s="7">
        <v>1000</v>
      </c>
      <c r="E373" s="5"/>
      <c r="F373" s="5"/>
      <c r="G373" s="5"/>
      <c r="H373" s="5"/>
      <c r="I373" s="5"/>
      <c r="J373" s="103"/>
      <c r="K373" s="35"/>
      <c r="L373" s="40"/>
      <c r="M373" s="40"/>
      <c r="N373" s="40"/>
      <c r="O373" s="40"/>
      <c r="P373" s="40"/>
    </row>
    <row r="374" spans="1:16" ht="67.5" customHeight="1" x14ac:dyDescent="0.3">
      <c r="A374" s="66" t="s">
        <v>459</v>
      </c>
      <c r="B374" s="30" t="s">
        <v>460</v>
      </c>
      <c r="C374" s="77"/>
      <c r="D374" s="5">
        <f>D375</f>
        <v>9569.7000000000007</v>
      </c>
      <c r="E374" s="5">
        <f t="shared" ref="E374:I374" si="116">E375</f>
        <v>9765</v>
      </c>
      <c r="F374" s="5"/>
      <c r="G374" s="5">
        <f t="shared" si="116"/>
        <v>9765</v>
      </c>
      <c r="H374" s="5"/>
      <c r="I374" s="5">
        <f t="shared" si="116"/>
        <v>9765</v>
      </c>
      <c r="J374" s="103"/>
      <c r="K374" s="35"/>
      <c r="L374" s="40"/>
      <c r="M374" s="40"/>
      <c r="N374" s="40"/>
      <c r="O374" s="40"/>
      <c r="P374" s="40"/>
    </row>
    <row r="375" spans="1:16" ht="70.5" customHeight="1" x14ac:dyDescent="0.3">
      <c r="A375" s="70" t="s">
        <v>461</v>
      </c>
      <c r="B375" s="29" t="s">
        <v>462</v>
      </c>
      <c r="C375" s="76" t="s">
        <v>607</v>
      </c>
      <c r="D375" s="7">
        <v>9569.7000000000007</v>
      </c>
      <c r="E375" s="7">
        <v>9765</v>
      </c>
      <c r="F375" s="7"/>
      <c r="G375" s="7">
        <v>9765</v>
      </c>
      <c r="H375" s="7"/>
      <c r="I375" s="7">
        <v>9765</v>
      </c>
      <c r="J375" s="103"/>
      <c r="K375" s="35"/>
      <c r="L375" s="40"/>
      <c r="M375" s="40"/>
      <c r="N375" s="40"/>
      <c r="O375" s="40"/>
      <c r="P375" s="40"/>
    </row>
    <row r="376" spans="1:16" ht="39" hidden="1" customHeight="1" x14ac:dyDescent="0.3">
      <c r="A376" s="12" t="s">
        <v>463</v>
      </c>
      <c r="B376" s="30" t="s">
        <v>464</v>
      </c>
      <c r="C376" s="77"/>
      <c r="D376" s="5">
        <f>D377</f>
        <v>0</v>
      </c>
      <c r="E376" s="5">
        <f t="shared" ref="E376:I378" si="117">E377</f>
        <v>0</v>
      </c>
      <c r="F376" s="5"/>
      <c r="G376" s="5">
        <f t="shared" si="117"/>
        <v>0</v>
      </c>
      <c r="H376" s="5"/>
      <c r="I376" s="5">
        <f t="shared" si="117"/>
        <v>0</v>
      </c>
      <c r="J376" s="103"/>
      <c r="K376" s="35"/>
      <c r="L376" s="40"/>
      <c r="M376" s="40"/>
      <c r="N376" s="40"/>
      <c r="O376" s="40"/>
      <c r="P376" s="40"/>
    </row>
    <row r="377" spans="1:16" ht="44.25" hidden="1" customHeight="1" x14ac:dyDescent="0.3">
      <c r="A377" s="14" t="s">
        <v>465</v>
      </c>
      <c r="B377" s="29" t="s">
        <v>466</v>
      </c>
      <c r="C377" s="76"/>
      <c r="D377" s="7"/>
      <c r="E377" s="7"/>
      <c r="F377" s="7"/>
      <c r="G377" s="7"/>
      <c r="H377" s="7"/>
      <c r="I377" s="7"/>
      <c r="J377" s="103"/>
      <c r="K377" s="35"/>
      <c r="L377" s="40"/>
      <c r="M377" s="40"/>
      <c r="N377" s="40"/>
      <c r="O377" s="40"/>
      <c r="P377" s="40"/>
    </row>
    <row r="378" spans="1:16" s="78" customFormat="1" ht="84" customHeight="1" x14ac:dyDescent="0.3">
      <c r="A378" s="12" t="s">
        <v>637</v>
      </c>
      <c r="B378" s="81" t="s">
        <v>639</v>
      </c>
      <c r="C378" s="76"/>
      <c r="D378" s="7"/>
      <c r="E378" s="5">
        <f t="shared" si="117"/>
        <v>7059</v>
      </c>
      <c r="F378" s="5"/>
      <c r="G378" s="5">
        <f t="shared" si="117"/>
        <v>0</v>
      </c>
      <c r="H378" s="5"/>
      <c r="I378" s="5">
        <f t="shared" si="117"/>
        <v>0</v>
      </c>
      <c r="J378" s="103"/>
      <c r="K378" s="35"/>
      <c r="L378" s="40"/>
      <c r="M378" s="40"/>
      <c r="N378" s="40"/>
      <c r="O378" s="40"/>
      <c r="P378" s="40"/>
    </row>
    <row r="379" spans="1:16" s="78" customFormat="1" ht="67.5" customHeight="1" x14ac:dyDescent="0.3">
      <c r="A379" s="14" t="s">
        <v>638</v>
      </c>
      <c r="B379" s="80" t="s">
        <v>640</v>
      </c>
      <c r="C379" s="76"/>
      <c r="D379" s="7"/>
      <c r="E379" s="7">
        <v>7059</v>
      </c>
      <c r="F379" s="7"/>
      <c r="G379" s="7"/>
      <c r="H379" s="7"/>
      <c r="I379" s="7"/>
      <c r="J379" s="103"/>
      <c r="K379" s="35"/>
      <c r="L379" s="40"/>
      <c r="M379" s="40"/>
      <c r="N379" s="40"/>
      <c r="O379" s="40"/>
      <c r="P379" s="40"/>
    </row>
    <row r="380" spans="1:16" ht="33" customHeight="1" x14ac:dyDescent="0.3">
      <c r="A380" s="12" t="s">
        <v>467</v>
      </c>
      <c r="B380" s="30" t="s">
        <v>468</v>
      </c>
      <c r="C380" s="77"/>
      <c r="D380" s="5">
        <f>D381</f>
        <v>0</v>
      </c>
      <c r="E380" s="5">
        <f>E381+E382</f>
        <v>2665.3</v>
      </c>
      <c r="F380" s="5"/>
      <c r="G380" s="5">
        <f t="shared" ref="G380:I380" si="118">G381</f>
        <v>0</v>
      </c>
      <c r="H380" s="5"/>
      <c r="I380" s="5">
        <f t="shared" si="118"/>
        <v>0</v>
      </c>
      <c r="J380" s="103"/>
      <c r="K380" s="35"/>
      <c r="L380" s="40"/>
      <c r="M380" s="40"/>
      <c r="N380" s="40"/>
      <c r="O380" s="40"/>
      <c r="P380" s="40"/>
    </row>
    <row r="381" spans="1:16" ht="0.75" hidden="1" customHeight="1" x14ac:dyDescent="0.3">
      <c r="A381" s="14" t="s">
        <v>469</v>
      </c>
      <c r="B381" s="29" t="s">
        <v>470</v>
      </c>
      <c r="C381" s="76"/>
      <c r="D381" s="7">
        <f>D383+D384+D385+D386</f>
        <v>0</v>
      </c>
      <c r="E381" s="7">
        <f t="shared" ref="E381:G381" si="119">E383+E384+E385+E386</f>
        <v>0</v>
      </c>
      <c r="F381" s="7"/>
      <c r="G381" s="7">
        <f t="shared" si="119"/>
        <v>0</v>
      </c>
      <c r="H381" s="7"/>
      <c r="I381" s="7">
        <f t="shared" ref="I381" si="120">I383+I384+I385+I386</f>
        <v>0</v>
      </c>
      <c r="J381" s="103"/>
      <c r="K381" s="35"/>
      <c r="L381" s="40"/>
      <c r="M381" s="40"/>
      <c r="N381" s="40"/>
      <c r="O381" s="40"/>
      <c r="P381" s="40"/>
    </row>
    <row r="382" spans="1:16" s="78" customFormat="1" ht="99.75" customHeight="1" x14ac:dyDescent="0.3">
      <c r="A382" s="14" t="s">
        <v>469</v>
      </c>
      <c r="B382" s="80" t="s">
        <v>645</v>
      </c>
      <c r="C382" s="76"/>
      <c r="D382" s="7"/>
      <c r="E382" s="7">
        <v>2665.3</v>
      </c>
      <c r="F382" s="7"/>
      <c r="G382" s="7"/>
      <c r="H382" s="7"/>
      <c r="I382" s="7"/>
      <c r="J382" s="103"/>
      <c r="K382" s="35"/>
      <c r="L382" s="40"/>
      <c r="M382" s="40"/>
      <c r="N382" s="40"/>
      <c r="O382" s="40"/>
      <c r="P382" s="40"/>
    </row>
    <row r="383" spans="1:16" ht="119.25" hidden="1" customHeight="1" x14ac:dyDescent="0.3">
      <c r="A383" s="14" t="s">
        <v>469</v>
      </c>
      <c r="B383" s="29" t="s">
        <v>471</v>
      </c>
      <c r="C383" s="76"/>
      <c r="D383" s="7"/>
      <c r="E383" s="7"/>
      <c r="F383" s="7"/>
      <c r="G383" s="7"/>
      <c r="H383" s="7"/>
      <c r="I383" s="7"/>
      <c r="J383" s="103"/>
      <c r="K383" s="35"/>
      <c r="L383" s="40"/>
      <c r="M383" s="40"/>
      <c r="N383" s="40"/>
      <c r="O383" s="40"/>
      <c r="P383" s="40"/>
    </row>
    <row r="384" spans="1:16" ht="123.75" hidden="1" customHeight="1" x14ac:dyDescent="0.3">
      <c r="A384" s="14" t="s">
        <v>469</v>
      </c>
      <c r="B384" s="29" t="s">
        <v>472</v>
      </c>
      <c r="C384" s="76"/>
      <c r="D384" s="7"/>
      <c r="E384" s="7"/>
      <c r="F384" s="7"/>
      <c r="G384" s="7"/>
      <c r="H384" s="7"/>
      <c r="I384" s="7"/>
      <c r="J384" s="103"/>
      <c r="K384" s="35"/>
      <c r="L384" s="40"/>
      <c r="M384" s="40"/>
      <c r="N384" s="40"/>
      <c r="O384" s="40"/>
      <c r="P384" s="40"/>
    </row>
    <row r="385" spans="1:16" ht="114.75" hidden="1" x14ac:dyDescent="0.3">
      <c r="A385" s="14" t="s">
        <v>473</v>
      </c>
      <c r="B385" s="29" t="s">
        <v>474</v>
      </c>
      <c r="C385" s="76"/>
      <c r="D385" s="10"/>
      <c r="E385" s="10"/>
      <c r="F385" s="10"/>
      <c r="G385" s="10"/>
      <c r="H385" s="10"/>
      <c r="I385" s="10"/>
      <c r="J385" s="103"/>
      <c r="K385" s="35"/>
      <c r="L385" s="40"/>
      <c r="M385" s="40"/>
      <c r="N385" s="40"/>
      <c r="O385" s="40"/>
      <c r="P385" s="40"/>
    </row>
    <row r="386" spans="1:16" ht="51" hidden="1" customHeight="1" x14ac:dyDescent="0.3">
      <c r="A386" s="14" t="s">
        <v>469</v>
      </c>
      <c r="B386" s="29" t="s">
        <v>475</v>
      </c>
      <c r="C386" s="76"/>
      <c r="D386" s="10"/>
      <c r="E386" s="10"/>
      <c r="F386" s="10"/>
      <c r="G386" s="10"/>
      <c r="H386" s="10"/>
      <c r="I386" s="10"/>
      <c r="J386" s="103"/>
      <c r="K386" s="35"/>
      <c r="L386" s="40"/>
      <c r="M386" s="40"/>
      <c r="N386" s="40"/>
      <c r="O386" s="40"/>
      <c r="P386" s="40"/>
    </row>
    <row r="387" spans="1:16" ht="44.25" hidden="1" customHeight="1" x14ac:dyDescent="0.3">
      <c r="A387" s="71" t="s">
        <v>476</v>
      </c>
      <c r="B387" s="30" t="s">
        <v>477</v>
      </c>
      <c r="C387" s="77"/>
      <c r="D387" s="11">
        <f>D388</f>
        <v>100311.8</v>
      </c>
      <c r="E387" s="11">
        <f t="shared" ref="E387:I388" si="121">E388</f>
        <v>0</v>
      </c>
      <c r="F387" s="11"/>
      <c r="G387" s="11">
        <f t="shared" si="121"/>
        <v>0</v>
      </c>
      <c r="H387" s="11"/>
      <c r="I387" s="11">
        <f t="shared" si="121"/>
        <v>0</v>
      </c>
      <c r="J387" s="103"/>
      <c r="K387" s="35"/>
      <c r="L387" s="40"/>
      <c r="M387" s="40"/>
      <c r="N387" s="40"/>
      <c r="O387" s="40"/>
      <c r="P387" s="40"/>
    </row>
    <row r="388" spans="1:16" ht="48.75" hidden="1" customHeight="1" x14ac:dyDescent="0.3">
      <c r="A388" s="14" t="s">
        <v>478</v>
      </c>
      <c r="B388" s="29" t="s">
        <v>479</v>
      </c>
      <c r="C388" s="76"/>
      <c r="D388" s="10">
        <f>D389</f>
        <v>100311.8</v>
      </c>
      <c r="E388" s="10">
        <f t="shared" si="121"/>
        <v>0</v>
      </c>
      <c r="F388" s="10"/>
      <c r="G388" s="10">
        <f t="shared" si="121"/>
        <v>0</v>
      </c>
      <c r="H388" s="10"/>
      <c r="I388" s="10">
        <f t="shared" si="121"/>
        <v>0</v>
      </c>
      <c r="J388" s="103"/>
      <c r="K388" s="35"/>
      <c r="L388" s="40"/>
      <c r="M388" s="40"/>
      <c r="N388" s="40"/>
      <c r="O388" s="40"/>
      <c r="P388" s="40"/>
    </row>
    <row r="389" spans="1:16" ht="43.5" hidden="1" customHeight="1" x14ac:dyDescent="0.3">
      <c r="A389" s="14" t="s">
        <v>480</v>
      </c>
      <c r="B389" s="29" t="s">
        <v>481</v>
      </c>
      <c r="C389" s="76"/>
      <c r="D389" s="10">
        <f>D393+D394+D390+D395+D391+D392</f>
        <v>100311.8</v>
      </c>
      <c r="E389" s="10">
        <f t="shared" ref="E389:I389" si="122">E393+E394+E390+E395+E391+E392</f>
        <v>0</v>
      </c>
      <c r="F389" s="10"/>
      <c r="G389" s="10">
        <f t="shared" si="122"/>
        <v>0</v>
      </c>
      <c r="H389" s="10"/>
      <c r="I389" s="10">
        <f t="shared" si="122"/>
        <v>0</v>
      </c>
      <c r="J389" s="103"/>
      <c r="K389" s="35"/>
      <c r="L389" s="40"/>
      <c r="M389" s="40"/>
      <c r="N389" s="40"/>
      <c r="O389" s="40"/>
      <c r="P389" s="40"/>
    </row>
    <row r="390" spans="1:16" ht="68.25" hidden="1" customHeight="1" x14ac:dyDescent="0.3">
      <c r="A390" s="14" t="s">
        <v>480</v>
      </c>
      <c r="B390" s="29" t="s">
        <v>482</v>
      </c>
      <c r="C390" s="76"/>
      <c r="D390" s="10"/>
      <c r="E390" s="10"/>
      <c r="F390" s="10"/>
      <c r="G390" s="10"/>
      <c r="H390" s="10"/>
      <c r="I390" s="10"/>
      <c r="J390" s="103"/>
      <c r="K390" s="35"/>
      <c r="L390" s="40"/>
      <c r="M390" s="40"/>
      <c r="N390" s="40"/>
      <c r="O390" s="40"/>
      <c r="P390" s="40"/>
    </row>
    <row r="391" spans="1:16" ht="79.5" hidden="1" customHeight="1" x14ac:dyDescent="0.3">
      <c r="A391" s="14" t="s">
        <v>516</v>
      </c>
      <c r="B391" s="29" t="s">
        <v>517</v>
      </c>
      <c r="C391" s="76"/>
      <c r="D391" s="10">
        <f>87050.6+3314.2</f>
        <v>90364.800000000003</v>
      </c>
      <c r="E391" s="10"/>
      <c r="F391" s="10"/>
      <c r="G391" s="10"/>
      <c r="H391" s="10"/>
      <c r="I391" s="10"/>
      <c r="J391" s="103"/>
      <c r="K391" s="35"/>
      <c r="L391" s="40"/>
      <c r="M391" s="40"/>
      <c r="N391" s="40"/>
      <c r="O391" s="40"/>
      <c r="P391" s="40"/>
    </row>
    <row r="392" spans="1:16" ht="69" hidden="1" customHeight="1" x14ac:dyDescent="0.3">
      <c r="A392" s="14" t="s">
        <v>480</v>
      </c>
      <c r="B392" s="29" t="s">
        <v>533</v>
      </c>
      <c r="C392" s="76"/>
      <c r="D392" s="10">
        <v>9947</v>
      </c>
      <c r="E392" s="10"/>
      <c r="F392" s="10"/>
      <c r="G392" s="10"/>
      <c r="H392" s="10"/>
      <c r="I392" s="10"/>
      <c r="J392" s="103"/>
      <c r="K392" s="35"/>
      <c r="L392" s="40"/>
      <c r="M392" s="40"/>
      <c r="N392" s="40"/>
      <c r="O392" s="40"/>
      <c r="P392" s="40"/>
    </row>
    <row r="393" spans="1:16" ht="66.75" hidden="1" customHeight="1" x14ac:dyDescent="0.3">
      <c r="A393" s="6" t="s">
        <v>480</v>
      </c>
      <c r="B393" s="29" t="s">
        <v>483</v>
      </c>
      <c r="C393" s="80"/>
      <c r="D393" s="10"/>
      <c r="E393" s="10"/>
      <c r="F393" s="10"/>
      <c r="G393" s="10"/>
      <c r="H393" s="10"/>
      <c r="I393" s="10"/>
      <c r="J393" s="33"/>
      <c r="K393" s="35"/>
      <c r="L393" s="40"/>
      <c r="M393" s="40"/>
      <c r="N393" s="40"/>
      <c r="O393" s="40"/>
      <c r="P393" s="40"/>
    </row>
    <row r="394" spans="1:16" ht="62.25" hidden="1" customHeight="1" x14ac:dyDescent="0.3">
      <c r="A394" s="6" t="s">
        <v>480</v>
      </c>
      <c r="B394" s="26" t="s">
        <v>484</v>
      </c>
      <c r="C394" s="79"/>
      <c r="D394" s="10"/>
      <c r="E394" s="10"/>
      <c r="F394" s="10"/>
      <c r="G394" s="10"/>
      <c r="H394" s="10"/>
      <c r="I394" s="10"/>
      <c r="J394" s="33"/>
      <c r="K394" s="35"/>
      <c r="L394" s="40"/>
      <c r="M394" s="40"/>
      <c r="N394" s="40"/>
      <c r="O394" s="40"/>
      <c r="P394" s="40"/>
    </row>
    <row r="395" spans="1:16" ht="75" hidden="1" customHeight="1" x14ac:dyDescent="0.3">
      <c r="A395" s="6" t="s">
        <v>480</v>
      </c>
      <c r="B395" s="26" t="s">
        <v>485</v>
      </c>
      <c r="C395" s="79"/>
      <c r="D395" s="10"/>
      <c r="E395" s="10"/>
      <c r="F395" s="10"/>
      <c r="G395" s="10"/>
      <c r="H395" s="10"/>
      <c r="I395" s="10"/>
      <c r="J395" s="33"/>
      <c r="K395" s="35"/>
      <c r="L395" s="40"/>
      <c r="M395" s="40"/>
      <c r="N395" s="40"/>
      <c r="O395" s="40"/>
      <c r="P395" s="40"/>
    </row>
    <row r="396" spans="1:16" ht="24.75" hidden="1" customHeight="1" x14ac:dyDescent="0.3">
      <c r="A396" s="12" t="s">
        <v>486</v>
      </c>
      <c r="B396" s="30" t="s">
        <v>487</v>
      </c>
      <c r="C396" s="81"/>
      <c r="D396" s="13">
        <f>D397</f>
        <v>0</v>
      </c>
      <c r="E396" s="13"/>
      <c r="F396" s="13"/>
      <c r="G396" s="13">
        <f t="shared" ref="G396:I396" si="123">G397</f>
        <v>0</v>
      </c>
      <c r="H396" s="13"/>
      <c r="I396" s="13">
        <f t="shared" si="123"/>
        <v>0</v>
      </c>
      <c r="J396" s="33"/>
      <c r="K396" s="35"/>
      <c r="L396" s="40"/>
      <c r="M396" s="40"/>
      <c r="N396" s="40"/>
      <c r="O396" s="40"/>
      <c r="P396" s="40"/>
    </row>
    <row r="397" spans="1:16" ht="30.75" hidden="1" customHeight="1" x14ac:dyDescent="0.3">
      <c r="A397" s="14" t="s">
        <v>488</v>
      </c>
      <c r="B397" s="31" t="s">
        <v>489</v>
      </c>
      <c r="C397" s="82"/>
      <c r="D397" s="15">
        <f>SUM(D398:D402)</f>
        <v>0</v>
      </c>
      <c r="E397" s="15"/>
      <c r="F397" s="15"/>
      <c r="G397" s="15">
        <f t="shared" ref="G397:I397" si="124">SUM(G398:G402)</f>
        <v>0</v>
      </c>
      <c r="H397" s="15"/>
      <c r="I397" s="15">
        <f t="shared" si="124"/>
        <v>0</v>
      </c>
      <c r="J397" s="33"/>
      <c r="K397" s="35"/>
      <c r="L397" s="40"/>
      <c r="M397" s="40"/>
      <c r="N397" s="40"/>
      <c r="O397" s="40"/>
      <c r="P397" s="40"/>
    </row>
    <row r="398" spans="1:16" ht="73.5" hidden="1" customHeight="1" x14ac:dyDescent="0.3">
      <c r="A398" s="14" t="s">
        <v>490</v>
      </c>
      <c r="B398" s="31" t="s">
        <v>491</v>
      </c>
      <c r="C398" s="82"/>
      <c r="D398" s="10"/>
      <c r="E398" s="10"/>
      <c r="F398" s="10"/>
      <c r="G398" s="10"/>
      <c r="H398" s="10"/>
      <c r="I398" s="10"/>
      <c r="J398" s="33"/>
      <c r="K398" s="35"/>
      <c r="L398" s="40"/>
      <c r="M398" s="40"/>
      <c r="N398" s="40"/>
      <c r="O398" s="40"/>
      <c r="P398" s="40"/>
    </row>
    <row r="399" spans="1:16" ht="53.25" hidden="1" customHeight="1" x14ac:dyDescent="0.3">
      <c r="A399" s="14" t="s">
        <v>492</v>
      </c>
      <c r="B399" s="31" t="s">
        <v>493</v>
      </c>
      <c r="C399" s="82"/>
      <c r="D399" s="10"/>
      <c r="E399" s="10"/>
      <c r="F399" s="10"/>
      <c r="G399" s="15"/>
      <c r="H399" s="15"/>
      <c r="I399" s="15"/>
      <c r="J399" s="33"/>
      <c r="K399" s="35"/>
      <c r="L399" s="40"/>
      <c r="M399" s="40"/>
      <c r="N399" s="40"/>
      <c r="O399" s="40"/>
      <c r="P399" s="40"/>
    </row>
    <row r="400" spans="1:16" ht="51" hidden="1" customHeight="1" x14ac:dyDescent="0.3">
      <c r="A400" s="16" t="s">
        <v>494</v>
      </c>
      <c r="B400" s="29" t="s">
        <v>495</v>
      </c>
      <c r="C400" s="80"/>
      <c r="D400" s="15"/>
      <c r="E400" s="15"/>
      <c r="F400" s="15"/>
      <c r="G400" s="15"/>
      <c r="H400" s="15"/>
      <c r="I400" s="15"/>
      <c r="J400" s="33"/>
      <c r="K400" s="35"/>
      <c r="L400" s="40"/>
    </row>
    <row r="401" spans="1:12" ht="66.75" hidden="1" customHeight="1" x14ac:dyDescent="0.3">
      <c r="A401" s="16" t="s">
        <v>494</v>
      </c>
      <c r="B401" s="29" t="s">
        <v>496</v>
      </c>
      <c r="C401" s="80"/>
      <c r="D401" s="10"/>
      <c r="E401" s="10"/>
      <c r="F401" s="10"/>
      <c r="G401" s="10"/>
      <c r="H401" s="10"/>
      <c r="I401" s="10"/>
      <c r="J401" s="33"/>
      <c r="K401" s="35"/>
      <c r="L401" s="40"/>
    </row>
    <row r="402" spans="1:12" ht="60.75" hidden="1" customHeight="1" x14ac:dyDescent="0.3">
      <c r="A402" s="16" t="s">
        <v>494</v>
      </c>
      <c r="B402" s="29" t="s">
        <v>497</v>
      </c>
      <c r="C402" s="80"/>
      <c r="D402" s="10"/>
      <c r="E402" s="10"/>
      <c r="F402" s="10"/>
      <c r="G402" s="10"/>
      <c r="H402" s="10"/>
      <c r="I402" s="10"/>
      <c r="J402" s="33"/>
      <c r="K402" s="35"/>
      <c r="L402" s="40"/>
    </row>
    <row r="403" spans="1:12" x14ac:dyDescent="0.3">
      <c r="A403" s="17"/>
      <c r="B403" s="32"/>
      <c r="C403" s="83"/>
      <c r="D403" s="23" t="s">
        <v>498</v>
      </c>
      <c r="J403" s="33"/>
      <c r="K403" s="35"/>
      <c r="L403" s="40"/>
    </row>
    <row r="404" spans="1:12" x14ac:dyDescent="0.3">
      <c r="A404" s="17"/>
      <c r="B404" s="32"/>
      <c r="C404" s="83"/>
      <c r="J404" s="33"/>
      <c r="K404" s="35"/>
      <c r="L404" s="40"/>
    </row>
    <row r="405" spans="1:12" x14ac:dyDescent="0.3">
      <c r="A405" s="18"/>
      <c r="B405" s="32"/>
      <c r="C405" s="83"/>
      <c r="J405" s="33"/>
      <c r="K405" s="35"/>
      <c r="L405" s="40"/>
    </row>
    <row r="406" spans="1:12" x14ac:dyDescent="0.3">
      <c r="A406" s="18"/>
      <c r="J406" s="33"/>
      <c r="K406" s="35"/>
      <c r="L406" s="40"/>
    </row>
    <row r="407" spans="1:12" x14ac:dyDescent="0.3">
      <c r="A407" s="18"/>
      <c r="J407" s="33"/>
      <c r="K407" s="35"/>
      <c r="L407" s="40"/>
    </row>
    <row r="408" spans="1:12" x14ac:dyDescent="0.3">
      <c r="A408" s="18"/>
      <c r="J408" s="33"/>
      <c r="K408" s="35"/>
      <c r="L408" s="40"/>
    </row>
    <row r="409" spans="1:12" x14ac:dyDescent="0.3">
      <c r="A409" s="18"/>
      <c r="J409" s="33"/>
      <c r="K409" s="35"/>
      <c r="L409" s="40"/>
    </row>
    <row r="410" spans="1:12" x14ac:dyDescent="0.3">
      <c r="A410" s="18"/>
      <c r="J410" s="33"/>
      <c r="K410" s="35"/>
      <c r="L410" s="40"/>
    </row>
    <row r="411" spans="1:12" x14ac:dyDescent="0.3">
      <c r="A411" s="18"/>
      <c r="J411" s="33"/>
      <c r="K411" s="35"/>
      <c r="L411" s="40"/>
    </row>
    <row r="412" spans="1:12" x14ac:dyDescent="0.3">
      <c r="A412" s="19"/>
      <c r="J412" s="33"/>
      <c r="K412" s="35"/>
      <c r="L412" s="40"/>
    </row>
    <row r="413" spans="1:12" x14ac:dyDescent="0.3">
      <c r="A413" s="19"/>
      <c r="J413" s="33"/>
      <c r="K413" s="35"/>
      <c r="L413" s="40"/>
    </row>
    <row r="414" spans="1:12" x14ac:dyDescent="0.3">
      <c r="A414" s="19"/>
      <c r="J414" s="33"/>
      <c r="K414" s="35"/>
      <c r="L414" s="40"/>
    </row>
    <row r="415" spans="1:12" x14ac:dyDescent="0.3">
      <c r="A415" s="19"/>
      <c r="J415" s="33"/>
      <c r="K415" s="35"/>
      <c r="L415" s="40"/>
    </row>
    <row r="416" spans="1:12" x14ac:dyDescent="0.3">
      <c r="A416" s="19"/>
      <c r="J416" s="33"/>
      <c r="K416" s="35"/>
      <c r="L416" s="40"/>
    </row>
    <row r="417" spans="1:12" x14ac:dyDescent="0.3">
      <c r="A417" s="19"/>
      <c r="J417" s="33"/>
      <c r="K417" s="35"/>
      <c r="L417" s="40"/>
    </row>
    <row r="418" spans="1:12" x14ac:dyDescent="0.3">
      <c r="A418" s="19"/>
      <c r="J418" s="33"/>
      <c r="K418" s="35"/>
      <c r="L418" s="40"/>
    </row>
    <row r="419" spans="1:12" x14ac:dyDescent="0.3">
      <c r="A419" s="19"/>
      <c r="J419" s="33"/>
      <c r="K419" s="35"/>
      <c r="L419" s="40"/>
    </row>
    <row r="420" spans="1:12" x14ac:dyDescent="0.3">
      <c r="A420" s="19"/>
      <c r="J420" s="33"/>
      <c r="K420" s="35"/>
      <c r="L420" s="40"/>
    </row>
    <row r="421" spans="1:12" x14ac:dyDescent="0.3">
      <c r="A421" s="19"/>
      <c r="J421" s="33"/>
      <c r="K421" s="35"/>
      <c r="L421" s="40"/>
    </row>
    <row r="422" spans="1:12" x14ac:dyDescent="0.3">
      <c r="A422" s="19"/>
      <c r="J422" s="33"/>
      <c r="K422" s="35"/>
      <c r="L422" s="40"/>
    </row>
    <row r="423" spans="1:12" x14ac:dyDescent="0.3">
      <c r="A423" s="19"/>
      <c r="J423" s="33"/>
      <c r="K423" s="35"/>
      <c r="L423" s="40"/>
    </row>
    <row r="424" spans="1:12" x14ac:dyDescent="0.3">
      <c r="A424" s="19"/>
      <c r="J424" s="33"/>
      <c r="K424" s="35"/>
      <c r="L424" s="40"/>
    </row>
    <row r="425" spans="1:12" x14ac:dyDescent="0.3">
      <c r="A425" s="19"/>
      <c r="J425" s="33"/>
      <c r="K425" s="35"/>
      <c r="L425" s="40"/>
    </row>
    <row r="426" spans="1:12" x14ac:dyDescent="0.3">
      <c r="A426" s="19"/>
      <c r="J426" s="33"/>
      <c r="K426" s="35"/>
      <c r="L426" s="40"/>
    </row>
    <row r="427" spans="1:12" x14ac:dyDescent="0.3">
      <c r="A427" s="19"/>
      <c r="J427" s="33"/>
      <c r="K427" s="35"/>
      <c r="L427" s="40"/>
    </row>
    <row r="428" spans="1:12" x14ac:dyDescent="0.3">
      <c r="A428" s="19"/>
      <c r="J428" s="33"/>
      <c r="K428" s="35"/>
      <c r="L428" s="40"/>
    </row>
    <row r="429" spans="1:12" x14ac:dyDescent="0.3">
      <c r="A429" s="19"/>
      <c r="J429" s="33"/>
      <c r="K429" s="35"/>
      <c r="L429" s="40"/>
    </row>
    <row r="430" spans="1:12" x14ac:dyDescent="0.3">
      <c r="A430" s="19"/>
      <c r="J430" s="33"/>
      <c r="K430" s="35"/>
      <c r="L430" s="40"/>
    </row>
    <row r="431" spans="1:12" x14ac:dyDescent="0.3">
      <c r="A431" s="19"/>
      <c r="J431" s="33"/>
      <c r="K431" s="35"/>
      <c r="L431" s="40"/>
    </row>
    <row r="432" spans="1:12" x14ac:dyDescent="0.3">
      <c r="A432" s="19"/>
      <c r="J432" s="33"/>
      <c r="K432" s="35"/>
      <c r="L432" s="40"/>
    </row>
    <row r="433" spans="1:12" x14ac:dyDescent="0.3">
      <c r="A433" s="19"/>
      <c r="J433" s="33"/>
      <c r="K433" s="35"/>
      <c r="L433" s="40"/>
    </row>
    <row r="434" spans="1:12" x14ac:dyDescent="0.3">
      <c r="A434" s="19"/>
      <c r="J434" s="33"/>
      <c r="K434" s="35"/>
      <c r="L434" s="40"/>
    </row>
    <row r="435" spans="1:12" x14ac:dyDescent="0.3">
      <c r="A435" s="19"/>
      <c r="J435" s="33"/>
      <c r="K435" s="35"/>
      <c r="L435" s="40"/>
    </row>
    <row r="436" spans="1:12" x14ac:dyDescent="0.3">
      <c r="A436" s="19"/>
      <c r="J436" s="33"/>
      <c r="K436" s="35"/>
      <c r="L436" s="40"/>
    </row>
    <row r="437" spans="1:12" x14ac:dyDescent="0.3">
      <c r="A437" s="19"/>
      <c r="J437" s="33"/>
      <c r="K437" s="35"/>
      <c r="L437" s="40"/>
    </row>
    <row r="438" spans="1:12" x14ac:dyDescent="0.3">
      <c r="A438" s="19"/>
      <c r="J438" s="33"/>
      <c r="K438" s="35"/>
      <c r="L438" s="40"/>
    </row>
    <row r="439" spans="1:12" x14ac:dyDescent="0.3">
      <c r="A439" s="19"/>
      <c r="J439" s="33"/>
      <c r="K439" s="35"/>
      <c r="L439" s="40"/>
    </row>
    <row r="440" spans="1:12" x14ac:dyDescent="0.3">
      <c r="A440" s="19"/>
      <c r="J440" s="33"/>
      <c r="K440" s="35"/>
      <c r="L440" s="40"/>
    </row>
    <row r="441" spans="1:12" x14ac:dyDescent="0.3">
      <c r="A441" s="19"/>
      <c r="J441" s="33"/>
      <c r="K441" s="35"/>
      <c r="L441" s="40"/>
    </row>
    <row r="442" spans="1:12" x14ac:dyDescent="0.3">
      <c r="A442" s="19"/>
      <c r="J442" s="33"/>
      <c r="K442" s="35"/>
      <c r="L442" s="40"/>
    </row>
    <row r="443" spans="1:12" x14ac:dyDescent="0.3">
      <c r="A443" s="19"/>
      <c r="J443" s="33"/>
      <c r="K443" s="35"/>
      <c r="L443" s="40"/>
    </row>
    <row r="444" spans="1:12" x14ac:dyDescent="0.3">
      <c r="A444" s="19"/>
      <c r="J444" s="33"/>
      <c r="K444" s="35"/>
      <c r="L444" s="40"/>
    </row>
    <row r="445" spans="1:12" x14ac:dyDescent="0.3">
      <c r="A445" s="19"/>
      <c r="J445" s="33"/>
      <c r="K445" s="35"/>
      <c r="L445" s="40"/>
    </row>
    <row r="446" spans="1:12" x14ac:dyDescent="0.3">
      <c r="A446" s="19"/>
      <c r="J446" s="33"/>
      <c r="K446" s="35"/>
      <c r="L446" s="40"/>
    </row>
    <row r="447" spans="1:12" x14ac:dyDescent="0.3">
      <c r="A447" s="19"/>
      <c r="J447" s="33"/>
      <c r="K447" s="35"/>
      <c r="L447" s="40"/>
    </row>
    <row r="448" spans="1:12" x14ac:dyDescent="0.3">
      <c r="A448" s="19"/>
      <c r="J448" s="33"/>
      <c r="K448" s="35"/>
      <c r="L448" s="40"/>
    </row>
    <row r="449" spans="1:12" x14ac:dyDescent="0.3">
      <c r="A449" s="19"/>
      <c r="J449" s="33"/>
      <c r="K449" s="35"/>
      <c r="L449" s="40"/>
    </row>
    <row r="450" spans="1:12" x14ac:dyDescent="0.3">
      <c r="A450" s="19"/>
      <c r="J450" s="33"/>
      <c r="K450" s="35"/>
      <c r="L450" s="40"/>
    </row>
    <row r="451" spans="1:12" x14ac:dyDescent="0.3">
      <c r="A451" s="19"/>
      <c r="J451" s="33"/>
      <c r="K451" s="35"/>
      <c r="L451" s="40"/>
    </row>
    <row r="452" spans="1:12" x14ac:dyDescent="0.3">
      <c r="A452" s="19"/>
      <c r="J452" s="33"/>
      <c r="K452" s="35"/>
      <c r="L452" s="40"/>
    </row>
    <row r="453" spans="1:12" x14ac:dyDescent="0.3">
      <c r="A453" s="19"/>
      <c r="J453" s="33"/>
      <c r="K453" s="35"/>
      <c r="L453" s="40"/>
    </row>
    <row r="454" spans="1:12" x14ac:dyDescent="0.3">
      <c r="A454" s="19"/>
      <c r="J454" s="33"/>
      <c r="K454" s="35"/>
      <c r="L454" s="40"/>
    </row>
    <row r="455" spans="1:12" x14ac:dyDescent="0.3">
      <c r="A455" s="19"/>
      <c r="J455" s="33"/>
      <c r="K455" s="35"/>
      <c r="L455" s="40"/>
    </row>
    <row r="456" spans="1:12" x14ac:dyDescent="0.3">
      <c r="A456" s="19"/>
      <c r="J456" s="33"/>
      <c r="K456" s="35"/>
      <c r="L456" s="40"/>
    </row>
    <row r="457" spans="1:12" x14ac:dyDescent="0.3">
      <c r="A457" s="19"/>
      <c r="J457" s="33"/>
      <c r="K457" s="35"/>
      <c r="L457" s="40"/>
    </row>
    <row r="458" spans="1:12" x14ac:dyDescent="0.3">
      <c r="A458" s="19"/>
      <c r="J458" s="33"/>
      <c r="K458" s="35"/>
      <c r="L458" s="40"/>
    </row>
    <row r="459" spans="1:12" x14ac:dyDescent="0.3">
      <c r="A459" s="19"/>
      <c r="J459" s="33"/>
      <c r="K459" s="35"/>
      <c r="L459" s="40"/>
    </row>
    <row r="460" spans="1:12" x14ac:dyDescent="0.3">
      <c r="A460" s="19"/>
      <c r="J460" s="33"/>
      <c r="K460" s="35"/>
      <c r="L460" s="40"/>
    </row>
    <row r="461" spans="1:12" x14ac:dyDescent="0.3">
      <c r="A461" s="19"/>
      <c r="J461" s="33"/>
      <c r="K461" s="35"/>
      <c r="L461" s="40"/>
    </row>
    <row r="462" spans="1:12" x14ac:dyDescent="0.3">
      <c r="A462" s="19"/>
      <c r="J462" s="33"/>
      <c r="K462" s="35"/>
      <c r="L462" s="40"/>
    </row>
    <row r="463" spans="1:12" x14ac:dyDescent="0.3">
      <c r="A463" s="19"/>
      <c r="J463" s="33"/>
      <c r="K463" s="35"/>
      <c r="L463" s="40"/>
    </row>
    <row r="464" spans="1:12" x14ac:dyDescent="0.3">
      <c r="A464" s="19"/>
      <c r="J464" s="33"/>
      <c r="K464" s="35"/>
      <c r="L464" s="40"/>
    </row>
    <row r="465" spans="1:12" x14ac:dyDescent="0.3">
      <c r="A465" s="19"/>
      <c r="J465" s="33"/>
      <c r="K465" s="35"/>
      <c r="L465" s="40"/>
    </row>
    <row r="466" spans="1:12" x14ac:dyDescent="0.3">
      <c r="A466" s="19"/>
      <c r="J466" s="33"/>
      <c r="K466" s="35"/>
      <c r="L466" s="40"/>
    </row>
    <row r="467" spans="1:12" x14ac:dyDescent="0.3">
      <c r="A467" s="19"/>
      <c r="J467" s="33"/>
      <c r="K467" s="35"/>
      <c r="L467" s="40"/>
    </row>
    <row r="468" spans="1:12" x14ac:dyDescent="0.3">
      <c r="A468" s="19"/>
      <c r="J468" s="33"/>
      <c r="K468" s="35"/>
      <c r="L468" s="40"/>
    </row>
    <row r="469" spans="1:12" x14ac:dyDescent="0.3">
      <c r="A469" s="19"/>
      <c r="J469" s="33"/>
      <c r="K469" s="35"/>
      <c r="L469" s="40"/>
    </row>
    <row r="470" spans="1:12" x14ac:dyDescent="0.3">
      <c r="A470" s="19"/>
      <c r="J470" s="33"/>
      <c r="K470" s="35"/>
      <c r="L470" s="40"/>
    </row>
    <row r="471" spans="1:12" x14ac:dyDescent="0.3">
      <c r="A471" s="19"/>
      <c r="J471" s="33"/>
      <c r="K471" s="35"/>
      <c r="L471" s="40"/>
    </row>
    <row r="472" spans="1:12" x14ac:dyDescent="0.3">
      <c r="A472" s="19"/>
      <c r="J472" s="33"/>
      <c r="K472" s="35"/>
      <c r="L472" s="40"/>
    </row>
    <row r="473" spans="1:12" x14ac:dyDescent="0.3">
      <c r="A473" s="19"/>
      <c r="J473" s="33"/>
      <c r="K473" s="35"/>
      <c r="L473" s="40"/>
    </row>
    <row r="474" spans="1:12" x14ac:dyDescent="0.3">
      <c r="A474" s="19"/>
      <c r="J474" s="33"/>
      <c r="K474" s="35"/>
      <c r="L474" s="40"/>
    </row>
    <row r="475" spans="1:12" x14ac:dyDescent="0.3">
      <c r="A475" s="19"/>
      <c r="J475" s="33"/>
      <c r="K475" s="35"/>
      <c r="L475" s="40"/>
    </row>
    <row r="476" spans="1:12" x14ac:dyDescent="0.3">
      <c r="A476" s="19"/>
      <c r="J476" s="33"/>
      <c r="K476" s="35"/>
      <c r="L476" s="40"/>
    </row>
    <row r="477" spans="1:12" x14ac:dyDescent="0.3">
      <c r="A477" s="19"/>
      <c r="J477" s="33"/>
      <c r="K477" s="35"/>
      <c r="L477" s="40"/>
    </row>
    <row r="478" spans="1:12" x14ac:dyDescent="0.3">
      <c r="A478" s="19"/>
      <c r="J478" s="33"/>
      <c r="K478" s="35"/>
      <c r="L478" s="40"/>
    </row>
    <row r="479" spans="1:12" x14ac:dyDescent="0.3">
      <c r="A479" s="19"/>
      <c r="J479" s="33"/>
      <c r="K479" s="35"/>
      <c r="L479" s="40"/>
    </row>
    <row r="480" spans="1:12" x14ac:dyDescent="0.3">
      <c r="A480" s="19"/>
      <c r="J480" s="33"/>
      <c r="K480" s="35"/>
      <c r="L480" s="40"/>
    </row>
    <row r="481" spans="1:12" x14ac:dyDescent="0.3">
      <c r="A481" s="19"/>
      <c r="J481" s="33"/>
      <c r="K481" s="35"/>
      <c r="L481" s="40"/>
    </row>
    <row r="482" spans="1:12" x14ac:dyDescent="0.3">
      <c r="A482" s="19"/>
      <c r="J482" s="33"/>
      <c r="K482" s="35"/>
      <c r="L482" s="40"/>
    </row>
    <row r="483" spans="1:12" x14ac:dyDescent="0.3">
      <c r="A483" s="19"/>
      <c r="J483" s="33"/>
      <c r="K483" s="35"/>
      <c r="L483" s="40"/>
    </row>
    <row r="484" spans="1:12" x14ac:dyDescent="0.3">
      <c r="A484" s="19"/>
      <c r="J484" s="33"/>
      <c r="K484" s="35"/>
      <c r="L484" s="40"/>
    </row>
    <row r="485" spans="1:12" x14ac:dyDescent="0.3">
      <c r="A485" s="19"/>
      <c r="J485" s="33"/>
      <c r="K485" s="35"/>
      <c r="L485" s="40"/>
    </row>
    <row r="486" spans="1:12" x14ac:dyDescent="0.3">
      <c r="A486" s="19"/>
      <c r="J486" s="33"/>
      <c r="K486" s="35"/>
      <c r="L486" s="40"/>
    </row>
    <row r="487" spans="1:12" x14ac:dyDescent="0.3">
      <c r="A487" s="19"/>
      <c r="J487" s="33"/>
      <c r="K487" s="35"/>
      <c r="L487" s="40"/>
    </row>
    <row r="488" spans="1:12" x14ac:dyDescent="0.3">
      <c r="A488" s="19"/>
      <c r="J488" s="33"/>
      <c r="K488" s="35"/>
      <c r="L488" s="40"/>
    </row>
    <row r="489" spans="1:12" x14ac:dyDescent="0.3">
      <c r="A489" s="19"/>
      <c r="J489" s="33"/>
      <c r="K489" s="35"/>
      <c r="L489" s="40"/>
    </row>
    <row r="490" spans="1:12" x14ac:dyDescent="0.3">
      <c r="A490" s="19"/>
      <c r="J490" s="33"/>
      <c r="K490" s="35"/>
      <c r="L490" s="40"/>
    </row>
    <row r="491" spans="1:12" x14ac:dyDescent="0.3">
      <c r="A491" s="19"/>
      <c r="J491" s="33"/>
      <c r="K491" s="35"/>
      <c r="L491" s="40"/>
    </row>
    <row r="492" spans="1:12" x14ac:dyDescent="0.3">
      <c r="A492" s="19"/>
      <c r="J492" s="33"/>
      <c r="K492" s="35"/>
      <c r="L492" s="40"/>
    </row>
    <row r="493" spans="1:12" x14ac:dyDescent="0.3">
      <c r="A493" s="19"/>
      <c r="K493" s="40"/>
      <c r="L493" s="40"/>
    </row>
    <row r="494" spans="1:12" x14ac:dyDescent="0.3">
      <c r="A494" s="19"/>
      <c r="K494" s="40"/>
      <c r="L494" s="40"/>
    </row>
    <row r="495" spans="1:12" x14ac:dyDescent="0.3">
      <c r="A495" s="19"/>
      <c r="K495" s="40"/>
      <c r="L495" s="40"/>
    </row>
    <row r="496" spans="1:12" x14ac:dyDescent="0.3">
      <c r="A496" s="19"/>
      <c r="K496" s="40"/>
      <c r="L496" s="40"/>
    </row>
    <row r="497" spans="1:12" x14ac:dyDescent="0.3">
      <c r="A497" s="19"/>
      <c r="K497" s="40"/>
      <c r="L497" s="40"/>
    </row>
    <row r="498" spans="1:12" x14ac:dyDescent="0.3">
      <c r="A498" s="19"/>
      <c r="K498" s="40"/>
      <c r="L498" s="40"/>
    </row>
    <row r="499" spans="1:12" x14ac:dyDescent="0.3">
      <c r="A499" s="19"/>
      <c r="K499" s="40"/>
      <c r="L499" s="40"/>
    </row>
    <row r="500" spans="1:12" x14ac:dyDescent="0.3">
      <c r="A500" s="19"/>
      <c r="K500" s="40"/>
      <c r="L500" s="40"/>
    </row>
    <row r="501" spans="1:12" x14ac:dyDescent="0.3">
      <c r="A501" s="19"/>
      <c r="K501" s="40"/>
      <c r="L501" s="40"/>
    </row>
    <row r="502" spans="1:12" x14ac:dyDescent="0.3">
      <c r="A502" s="19"/>
      <c r="K502" s="40"/>
      <c r="L502" s="40"/>
    </row>
    <row r="503" spans="1:12" x14ac:dyDescent="0.3">
      <c r="A503" s="19"/>
      <c r="K503" s="40"/>
      <c r="L503" s="40"/>
    </row>
    <row r="504" spans="1:12" x14ac:dyDescent="0.3">
      <c r="A504" s="19"/>
      <c r="K504" s="40"/>
      <c r="L504" s="40"/>
    </row>
    <row r="505" spans="1:12" x14ac:dyDescent="0.3">
      <c r="A505" s="19"/>
      <c r="K505" s="40"/>
      <c r="L505" s="40"/>
    </row>
    <row r="506" spans="1:12" x14ac:dyDescent="0.3">
      <c r="A506" s="19"/>
      <c r="K506" s="40"/>
      <c r="L506" s="40"/>
    </row>
    <row r="507" spans="1:12" x14ac:dyDescent="0.3">
      <c r="A507" s="19"/>
      <c r="K507" s="40"/>
      <c r="L507" s="40"/>
    </row>
    <row r="508" spans="1:12" x14ac:dyDescent="0.3">
      <c r="A508" s="19"/>
      <c r="K508" s="40"/>
      <c r="L508" s="40"/>
    </row>
    <row r="509" spans="1:12" x14ac:dyDescent="0.3">
      <c r="A509" s="19"/>
      <c r="K509" s="40"/>
      <c r="L509" s="40"/>
    </row>
    <row r="510" spans="1:12" x14ac:dyDescent="0.3">
      <c r="A510" s="19"/>
      <c r="K510" s="40"/>
      <c r="L510" s="40"/>
    </row>
    <row r="511" spans="1:12" x14ac:dyDescent="0.3">
      <c r="A511" s="19"/>
      <c r="K511" s="40"/>
      <c r="L511" s="40"/>
    </row>
    <row r="512" spans="1:12" x14ac:dyDescent="0.3">
      <c r="A512" s="19"/>
      <c r="K512" s="40"/>
      <c r="L512" s="40"/>
    </row>
    <row r="513" spans="1:12" x14ac:dyDescent="0.3">
      <c r="A513" s="19"/>
      <c r="K513" s="40"/>
      <c r="L513" s="40"/>
    </row>
    <row r="514" spans="1:12" x14ac:dyDescent="0.3">
      <c r="A514" s="19"/>
      <c r="K514" s="40"/>
      <c r="L514" s="40"/>
    </row>
    <row r="515" spans="1:12" x14ac:dyDescent="0.3">
      <c r="A515" s="19"/>
      <c r="K515" s="40"/>
      <c r="L515" s="40"/>
    </row>
    <row r="516" spans="1:12" x14ac:dyDescent="0.3">
      <c r="A516" s="19"/>
      <c r="K516" s="40"/>
      <c r="L516" s="40"/>
    </row>
    <row r="517" spans="1:12" x14ac:dyDescent="0.3">
      <c r="A517" s="19"/>
      <c r="K517" s="40"/>
      <c r="L517" s="40"/>
    </row>
    <row r="518" spans="1:12" x14ac:dyDescent="0.3">
      <c r="A518" s="19"/>
      <c r="K518" s="40"/>
      <c r="L518" s="40"/>
    </row>
    <row r="519" spans="1:12" x14ac:dyDescent="0.3">
      <c r="A519" s="19"/>
      <c r="K519" s="40"/>
      <c r="L519" s="40"/>
    </row>
    <row r="520" spans="1:12" x14ac:dyDescent="0.3">
      <c r="A520" s="19"/>
      <c r="K520" s="40"/>
      <c r="L520" s="40"/>
    </row>
    <row r="521" spans="1:12" x14ac:dyDescent="0.3">
      <c r="A521" s="19"/>
      <c r="K521" s="40"/>
      <c r="L521" s="40"/>
    </row>
    <row r="522" spans="1:12" x14ac:dyDescent="0.3">
      <c r="A522" s="19"/>
      <c r="K522" s="40"/>
      <c r="L522" s="40"/>
    </row>
    <row r="523" spans="1:12" x14ac:dyDescent="0.3">
      <c r="A523" s="19"/>
      <c r="K523" s="40"/>
      <c r="L523" s="40"/>
    </row>
    <row r="524" spans="1:12" x14ac:dyDescent="0.3">
      <c r="A524" s="19"/>
      <c r="K524" s="40"/>
      <c r="L524" s="40"/>
    </row>
    <row r="525" spans="1:12" x14ac:dyDescent="0.3">
      <c r="A525" s="19"/>
      <c r="K525" s="40"/>
      <c r="L525" s="40"/>
    </row>
    <row r="526" spans="1:12" x14ac:dyDescent="0.3">
      <c r="A526" s="19"/>
      <c r="K526" s="40"/>
      <c r="L526" s="40"/>
    </row>
    <row r="527" spans="1:12" x14ac:dyDescent="0.3">
      <c r="A527" s="19"/>
      <c r="K527" s="40"/>
      <c r="L527" s="40"/>
    </row>
    <row r="528" spans="1:12" x14ac:dyDescent="0.3">
      <c r="A528" s="19"/>
      <c r="K528" s="40"/>
      <c r="L528" s="40"/>
    </row>
    <row r="529" spans="1:12" x14ac:dyDescent="0.3">
      <c r="A529" s="19"/>
      <c r="K529" s="40"/>
      <c r="L529" s="40"/>
    </row>
    <row r="530" spans="1:12" x14ac:dyDescent="0.3">
      <c r="A530" s="19"/>
      <c r="K530" s="40"/>
      <c r="L530" s="40"/>
    </row>
    <row r="531" spans="1:12" x14ac:dyDescent="0.3">
      <c r="A531" s="19"/>
      <c r="K531" s="40"/>
      <c r="L531" s="40"/>
    </row>
    <row r="532" spans="1:12" x14ac:dyDescent="0.3">
      <c r="A532" s="19"/>
      <c r="K532" s="40"/>
      <c r="L532" s="40"/>
    </row>
    <row r="533" spans="1:12" x14ac:dyDescent="0.3">
      <c r="A533" s="19"/>
      <c r="K533" s="40"/>
      <c r="L533" s="40"/>
    </row>
    <row r="534" spans="1:12" x14ac:dyDescent="0.3">
      <c r="A534" s="19"/>
      <c r="K534" s="40"/>
      <c r="L534" s="40"/>
    </row>
    <row r="535" spans="1:12" x14ac:dyDescent="0.3">
      <c r="A535" s="19"/>
      <c r="K535" s="40"/>
      <c r="L535" s="40"/>
    </row>
    <row r="536" spans="1:12" x14ac:dyDescent="0.3">
      <c r="A536" s="19"/>
      <c r="K536" s="40"/>
      <c r="L536" s="40"/>
    </row>
    <row r="537" spans="1:12" x14ac:dyDescent="0.3">
      <c r="A537" s="19"/>
      <c r="K537" s="40"/>
      <c r="L537" s="40"/>
    </row>
    <row r="538" spans="1:12" x14ac:dyDescent="0.3">
      <c r="A538" s="19"/>
      <c r="K538" s="40"/>
      <c r="L538" s="40"/>
    </row>
    <row r="539" spans="1:12" x14ac:dyDescent="0.3">
      <c r="A539" s="19"/>
      <c r="K539" s="40"/>
      <c r="L539" s="40"/>
    </row>
    <row r="540" spans="1:12" x14ac:dyDescent="0.3">
      <c r="A540" s="19"/>
      <c r="K540" s="40"/>
      <c r="L540" s="40"/>
    </row>
    <row r="541" spans="1:12" x14ac:dyDescent="0.3">
      <c r="A541" s="19"/>
      <c r="K541" s="40"/>
      <c r="L541" s="40"/>
    </row>
    <row r="542" spans="1:12" x14ac:dyDescent="0.3">
      <c r="A542" s="19"/>
      <c r="K542" s="40"/>
      <c r="L542" s="40"/>
    </row>
    <row r="543" spans="1:12" x14ac:dyDescent="0.3">
      <c r="A543" s="19"/>
      <c r="K543" s="40"/>
      <c r="L543" s="40"/>
    </row>
    <row r="544" spans="1:12" x14ac:dyDescent="0.3">
      <c r="A544" s="19"/>
      <c r="K544" s="40"/>
      <c r="L544" s="40"/>
    </row>
    <row r="545" spans="1:12" x14ac:dyDescent="0.3">
      <c r="A545" s="19"/>
      <c r="K545" s="40"/>
      <c r="L545" s="40"/>
    </row>
    <row r="546" spans="1:12" x14ac:dyDescent="0.3">
      <c r="A546" s="19"/>
      <c r="K546" s="40"/>
      <c r="L546" s="40"/>
    </row>
    <row r="547" spans="1:12" x14ac:dyDescent="0.3">
      <c r="A547" s="19"/>
      <c r="K547" s="40"/>
      <c r="L547" s="40"/>
    </row>
    <row r="548" spans="1:12" x14ac:dyDescent="0.3">
      <c r="A548" s="19"/>
      <c r="K548" s="40"/>
      <c r="L548" s="40"/>
    </row>
    <row r="549" spans="1:12" x14ac:dyDescent="0.3">
      <c r="A549" s="19"/>
      <c r="K549" s="40"/>
      <c r="L549" s="40"/>
    </row>
    <row r="550" spans="1:12" x14ac:dyDescent="0.3">
      <c r="A550" s="19"/>
      <c r="K550" s="40"/>
      <c r="L550" s="40"/>
    </row>
    <row r="551" spans="1:12" x14ac:dyDescent="0.3">
      <c r="A551" s="19"/>
      <c r="K551" s="40"/>
      <c r="L551" s="40"/>
    </row>
    <row r="552" spans="1:12" x14ac:dyDescent="0.3">
      <c r="A552" s="19"/>
      <c r="K552" s="40"/>
      <c r="L552" s="40"/>
    </row>
    <row r="553" spans="1:12" x14ac:dyDescent="0.3">
      <c r="A553" s="19"/>
      <c r="K553" s="40"/>
      <c r="L553" s="40"/>
    </row>
    <row r="554" spans="1:12" x14ac:dyDescent="0.3">
      <c r="A554" s="19"/>
      <c r="K554" s="40"/>
      <c r="L554" s="40"/>
    </row>
    <row r="555" spans="1:12" x14ac:dyDescent="0.3">
      <c r="A555" s="19"/>
      <c r="K555" s="40"/>
      <c r="L555" s="40"/>
    </row>
    <row r="556" spans="1:12" x14ac:dyDescent="0.3">
      <c r="A556" s="19"/>
      <c r="K556" s="40"/>
      <c r="L556" s="40"/>
    </row>
    <row r="557" spans="1:12" x14ac:dyDescent="0.3">
      <c r="A557" s="19"/>
      <c r="K557" s="40"/>
      <c r="L557" s="40"/>
    </row>
    <row r="558" spans="1:12" x14ac:dyDescent="0.3">
      <c r="A558" s="19"/>
      <c r="K558" s="40"/>
      <c r="L558" s="40"/>
    </row>
    <row r="559" spans="1:12" x14ac:dyDescent="0.3">
      <c r="A559" s="19"/>
      <c r="K559" s="40"/>
      <c r="L559" s="40"/>
    </row>
    <row r="560" spans="1:12" x14ac:dyDescent="0.3">
      <c r="A560" s="19"/>
      <c r="K560" s="40"/>
      <c r="L560" s="40"/>
    </row>
    <row r="561" spans="1:12" x14ac:dyDescent="0.3">
      <c r="A561" s="19"/>
      <c r="K561" s="40"/>
      <c r="L561" s="40"/>
    </row>
    <row r="562" spans="1:12" x14ac:dyDescent="0.3">
      <c r="A562" s="19"/>
      <c r="K562" s="40"/>
      <c r="L562" s="40"/>
    </row>
    <row r="563" spans="1:12" x14ac:dyDescent="0.3">
      <c r="A563" s="19"/>
      <c r="K563" s="40"/>
      <c r="L563" s="40"/>
    </row>
    <row r="564" spans="1:12" x14ac:dyDescent="0.3">
      <c r="A564" s="19"/>
      <c r="K564" s="40"/>
      <c r="L564" s="40"/>
    </row>
    <row r="565" spans="1:12" x14ac:dyDescent="0.3">
      <c r="A565" s="19"/>
      <c r="K565" s="40"/>
      <c r="L565" s="40"/>
    </row>
    <row r="566" spans="1:12" x14ac:dyDescent="0.3">
      <c r="A566" s="19"/>
      <c r="K566" s="40"/>
      <c r="L566" s="40"/>
    </row>
    <row r="567" spans="1:12" x14ac:dyDescent="0.3">
      <c r="A567" s="19"/>
      <c r="K567" s="40"/>
      <c r="L567" s="40"/>
    </row>
    <row r="568" spans="1:12" x14ac:dyDescent="0.3">
      <c r="A568" s="19"/>
      <c r="K568" s="40"/>
      <c r="L568" s="40"/>
    </row>
    <row r="569" spans="1:12" x14ac:dyDescent="0.3">
      <c r="A569" s="19"/>
      <c r="K569" s="40"/>
      <c r="L569" s="40"/>
    </row>
    <row r="570" spans="1:12" x14ac:dyDescent="0.3">
      <c r="A570" s="19"/>
      <c r="K570" s="40"/>
      <c r="L570" s="40"/>
    </row>
    <row r="571" spans="1:12" x14ac:dyDescent="0.3">
      <c r="A571" s="19"/>
      <c r="K571" s="40"/>
      <c r="L571" s="40"/>
    </row>
    <row r="572" spans="1:12" x14ac:dyDescent="0.3">
      <c r="A572" s="19"/>
      <c r="K572" s="40"/>
      <c r="L572" s="40"/>
    </row>
    <row r="573" spans="1:12" x14ac:dyDescent="0.3">
      <c r="A573" s="19"/>
      <c r="K573" s="40"/>
      <c r="L573" s="40"/>
    </row>
    <row r="574" spans="1:12" x14ac:dyDescent="0.3">
      <c r="A574" s="19"/>
      <c r="K574" s="40"/>
      <c r="L574" s="40"/>
    </row>
    <row r="575" spans="1:12" x14ac:dyDescent="0.3">
      <c r="A575" s="19"/>
      <c r="K575" s="40"/>
      <c r="L575" s="40"/>
    </row>
    <row r="576" spans="1:12" x14ac:dyDescent="0.3">
      <c r="A576" s="19"/>
      <c r="K576" s="40"/>
      <c r="L576" s="40"/>
    </row>
    <row r="577" spans="1:12" x14ac:dyDescent="0.3">
      <c r="A577" s="19"/>
      <c r="K577" s="40"/>
      <c r="L577" s="40"/>
    </row>
    <row r="578" spans="1:12" x14ac:dyDescent="0.3">
      <c r="A578" s="19"/>
      <c r="K578" s="40"/>
      <c r="L578" s="40"/>
    </row>
    <row r="579" spans="1:12" x14ac:dyDescent="0.3">
      <c r="A579" s="19"/>
      <c r="K579" s="40"/>
      <c r="L579" s="40"/>
    </row>
    <row r="580" spans="1:12" x14ac:dyDescent="0.3">
      <c r="A580" s="19"/>
      <c r="K580" s="40"/>
      <c r="L580" s="40"/>
    </row>
    <row r="581" spans="1:12" x14ac:dyDescent="0.3">
      <c r="A581" s="19"/>
      <c r="K581" s="40"/>
      <c r="L581" s="40"/>
    </row>
    <row r="582" spans="1:12" x14ac:dyDescent="0.3">
      <c r="A582" s="19"/>
      <c r="K582" s="40"/>
      <c r="L582" s="40"/>
    </row>
    <row r="583" spans="1:12" x14ac:dyDescent="0.3">
      <c r="A583" s="19"/>
      <c r="K583" s="40"/>
      <c r="L583" s="40"/>
    </row>
    <row r="584" spans="1:12" x14ac:dyDescent="0.3">
      <c r="A584" s="19"/>
      <c r="K584" s="40"/>
      <c r="L584" s="40"/>
    </row>
    <row r="585" spans="1:12" x14ac:dyDescent="0.3">
      <c r="A585" s="19"/>
      <c r="K585" s="40"/>
      <c r="L585" s="40"/>
    </row>
    <row r="586" spans="1:12" x14ac:dyDescent="0.3">
      <c r="A586" s="19"/>
      <c r="K586" s="40"/>
      <c r="L586" s="40"/>
    </row>
    <row r="587" spans="1:12" x14ac:dyDescent="0.3">
      <c r="A587" s="19"/>
      <c r="K587" s="40"/>
      <c r="L587" s="40"/>
    </row>
    <row r="588" spans="1:12" x14ac:dyDescent="0.3">
      <c r="A588" s="19"/>
      <c r="K588" s="40"/>
      <c r="L588" s="40"/>
    </row>
    <row r="589" spans="1:12" x14ac:dyDescent="0.3">
      <c r="A589" s="19"/>
      <c r="K589" s="40"/>
      <c r="L589" s="40"/>
    </row>
    <row r="590" spans="1:12" x14ac:dyDescent="0.3">
      <c r="A590" s="19"/>
      <c r="K590" s="40"/>
      <c r="L590" s="40"/>
    </row>
    <row r="591" spans="1:12" x14ac:dyDescent="0.3">
      <c r="A591" s="19"/>
      <c r="K591" s="40"/>
      <c r="L591" s="40"/>
    </row>
    <row r="592" spans="1:12" x14ac:dyDescent="0.3">
      <c r="A592" s="19"/>
      <c r="K592" s="40"/>
      <c r="L592" s="40"/>
    </row>
    <row r="593" spans="1:12" x14ac:dyDescent="0.3">
      <c r="A593" s="19"/>
      <c r="K593" s="40"/>
      <c r="L593" s="40"/>
    </row>
    <row r="594" spans="1:12" x14ac:dyDescent="0.3">
      <c r="A594" s="19"/>
      <c r="K594" s="40"/>
      <c r="L594" s="40"/>
    </row>
    <row r="595" spans="1:12" x14ac:dyDescent="0.3">
      <c r="A595" s="19"/>
      <c r="K595" s="40"/>
      <c r="L595" s="40"/>
    </row>
    <row r="596" spans="1:12" x14ac:dyDescent="0.3">
      <c r="A596" s="19"/>
      <c r="K596" s="40"/>
      <c r="L596" s="40"/>
    </row>
    <row r="597" spans="1:12" x14ac:dyDescent="0.3">
      <c r="A597" s="19"/>
      <c r="K597" s="40"/>
      <c r="L597" s="40"/>
    </row>
    <row r="598" spans="1:12" x14ac:dyDescent="0.3">
      <c r="A598" s="19"/>
      <c r="K598" s="40"/>
      <c r="L598" s="40"/>
    </row>
    <row r="599" spans="1:12" x14ac:dyDescent="0.3">
      <c r="A599" s="19"/>
    </row>
    <row r="600" spans="1:12" x14ac:dyDescent="0.3">
      <c r="A600" s="19"/>
    </row>
    <row r="601" spans="1:12" x14ac:dyDescent="0.3">
      <c r="A601" s="19"/>
    </row>
    <row r="602" spans="1:12" x14ac:dyDescent="0.3">
      <c r="A602" s="19"/>
    </row>
    <row r="603" spans="1:12" x14ac:dyDescent="0.3">
      <c r="A603" s="19"/>
    </row>
    <row r="604" spans="1:12" x14ac:dyDescent="0.3">
      <c r="A604" s="19"/>
    </row>
    <row r="605" spans="1:12" x14ac:dyDescent="0.3">
      <c r="A605" s="19"/>
    </row>
    <row r="606" spans="1:12" x14ac:dyDescent="0.3">
      <c r="A606" s="19"/>
    </row>
    <row r="607" spans="1:12" x14ac:dyDescent="0.3">
      <c r="A607" s="19"/>
    </row>
    <row r="608" spans="1:12" x14ac:dyDescent="0.3">
      <c r="A608" s="19"/>
    </row>
    <row r="609" spans="1:1" x14ac:dyDescent="0.3">
      <c r="A609" s="19"/>
    </row>
    <row r="610" spans="1:1" x14ac:dyDescent="0.3">
      <c r="A610" s="19"/>
    </row>
    <row r="611" spans="1:1" x14ac:dyDescent="0.3">
      <c r="A611" s="19"/>
    </row>
    <row r="612" spans="1:1" x14ac:dyDescent="0.3">
      <c r="A612" s="19"/>
    </row>
    <row r="613" spans="1:1" x14ac:dyDescent="0.3">
      <c r="A613" s="19"/>
    </row>
    <row r="614" spans="1:1" x14ac:dyDescent="0.3">
      <c r="A614" s="19"/>
    </row>
    <row r="615" spans="1:1" x14ac:dyDescent="0.3">
      <c r="A615" s="19"/>
    </row>
    <row r="616" spans="1:1" x14ac:dyDescent="0.3">
      <c r="A616" s="19"/>
    </row>
    <row r="617" spans="1:1" x14ac:dyDescent="0.3">
      <c r="A617" s="19"/>
    </row>
    <row r="618" spans="1:1" x14ac:dyDescent="0.3">
      <c r="A618" s="19"/>
    </row>
    <row r="619" spans="1:1" x14ac:dyDescent="0.3">
      <c r="A619" s="19"/>
    </row>
    <row r="620" spans="1:1" x14ac:dyDescent="0.3">
      <c r="A620" s="19"/>
    </row>
    <row r="621" spans="1:1" x14ac:dyDescent="0.3">
      <c r="A621" s="19"/>
    </row>
    <row r="622" spans="1:1" x14ac:dyDescent="0.3">
      <c r="A622" s="19"/>
    </row>
    <row r="623" spans="1:1" x14ac:dyDescent="0.3">
      <c r="A623" s="19"/>
    </row>
    <row r="624" spans="1:1" x14ac:dyDescent="0.3">
      <c r="A624" s="19"/>
    </row>
    <row r="625" spans="1:1" x14ac:dyDescent="0.3">
      <c r="A625" s="19"/>
    </row>
    <row r="626" spans="1:1" x14ac:dyDescent="0.3">
      <c r="A626" s="19"/>
    </row>
    <row r="627" spans="1:1" x14ac:dyDescent="0.3">
      <c r="A627" s="19"/>
    </row>
    <row r="628" spans="1:1" x14ac:dyDescent="0.3">
      <c r="A628" s="19"/>
    </row>
    <row r="629" spans="1:1" x14ac:dyDescent="0.3">
      <c r="A629" s="19"/>
    </row>
    <row r="630" spans="1:1" x14ac:dyDescent="0.3">
      <c r="A630" s="19"/>
    </row>
    <row r="631" spans="1:1" x14ac:dyDescent="0.3">
      <c r="A631" s="19"/>
    </row>
    <row r="632" spans="1:1" x14ac:dyDescent="0.3">
      <c r="A632" s="19"/>
    </row>
    <row r="633" spans="1:1" x14ac:dyDescent="0.3">
      <c r="A633" s="19"/>
    </row>
    <row r="634" spans="1:1" x14ac:dyDescent="0.3">
      <c r="A634" s="19"/>
    </row>
    <row r="635" spans="1:1" x14ac:dyDescent="0.3">
      <c r="A635" s="19"/>
    </row>
    <row r="636" spans="1:1" x14ac:dyDescent="0.3">
      <c r="A636" s="19"/>
    </row>
    <row r="637" spans="1:1" x14ac:dyDescent="0.3">
      <c r="A637" s="19"/>
    </row>
  </sheetData>
  <mergeCells count="3">
    <mergeCell ref="A6:I6"/>
    <mergeCell ref="A7:I7"/>
    <mergeCell ref="A8:I8"/>
  </mergeCells>
  <pageMargins left="0.59055118110236227" right="0.39370078740157483" top="0.78740157480314965" bottom="0.78740157480314965" header="0.51181102362204722" footer="0.51181102362204722"/>
  <pageSetup paperSize="9" scale="7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</vt:lpstr>
      <vt:lpstr>'ДОХОДЫ '!Заголовки_для_печати</vt:lpstr>
      <vt:lpstr>'ДОХОДЫ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Стекленева</cp:lastModifiedBy>
  <cp:lastPrinted>2022-03-22T07:18:43Z</cp:lastPrinted>
  <dcterms:created xsi:type="dcterms:W3CDTF">2020-11-29T03:50:15Z</dcterms:created>
  <dcterms:modified xsi:type="dcterms:W3CDTF">2022-03-22T07:33:50Z</dcterms:modified>
</cp:coreProperties>
</file>