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0" yWindow="0" windowWidth="28800" windowHeight="11835"/>
  </bookViews>
  <sheets>
    <sheet name="ЛИМИТЫ" sheetId="1" r:id="rId1"/>
    <sheet name="ТАРИФЫ" sheetId="2" r:id="rId2"/>
  </sheets>
  <definedNames>
    <definedName name="_xlnm._FilterDatabase" localSheetId="0" hidden="1">ЛИМИТЫ!$A$13:$N$147</definedName>
    <definedName name="_xlnm.Print_Titles" localSheetId="0">ЛИМИТЫ!$10:$13</definedName>
  </definedNames>
  <calcPr calcId="152511" iterate="1"/>
</workbook>
</file>

<file path=xl/calcChain.xml><?xml version="1.0" encoding="utf-8"?>
<calcChain xmlns="http://schemas.openxmlformats.org/spreadsheetml/2006/main">
  <c r="C75" i="1" l="1"/>
  <c r="C109" i="1"/>
  <c r="C105" i="1" s="1"/>
  <c r="C19" i="1"/>
  <c r="L31" i="1" l="1"/>
  <c r="M61" i="1" l="1"/>
  <c r="M60" i="1"/>
  <c r="L81" i="1"/>
  <c r="M82" i="1"/>
  <c r="M83" i="1"/>
  <c r="L75" i="1"/>
  <c r="L76" i="1"/>
  <c r="L65" i="1"/>
  <c r="M63" i="1"/>
  <c r="M64" i="1"/>
  <c r="L40" i="1"/>
  <c r="L37" i="1"/>
  <c r="M24" i="1"/>
  <c r="M73" i="1"/>
  <c r="M72" i="1"/>
  <c r="L59" i="1"/>
  <c r="L71" i="1"/>
  <c r="L68" i="1"/>
  <c r="M81" i="1" l="1"/>
  <c r="M59" i="1"/>
  <c r="L121" i="1"/>
  <c r="M47" i="1"/>
  <c r="M48" i="1"/>
  <c r="L50" i="1"/>
  <c r="M80" i="1" l="1"/>
  <c r="M79" i="1"/>
  <c r="L86" i="1"/>
  <c r="L85" i="1"/>
  <c r="M90" i="1"/>
  <c r="M89" i="1"/>
  <c r="L91" i="1"/>
  <c r="M91" i="1"/>
  <c r="M96" i="1"/>
  <c r="L97" i="1"/>
  <c r="M99" i="1"/>
  <c r="M98" i="1"/>
  <c r="L109" i="1"/>
  <c r="M114" i="1"/>
  <c r="M113" i="1"/>
  <c r="M109" i="1" s="1"/>
  <c r="L110" i="1"/>
  <c r="L115" i="1"/>
  <c r="M117" i="1"/>
  <c r="M116" i="1"/>
  <c r="L125" i="1"/>
  <c r="M127" i="1"/>
  <c r="M126" i="1"/>
  <c r="M122" i="1"/>
  <c r="L118" i="1"/>
  <c r="M120" i="1"/>
  <c r="M119" i="1"/>
  <c r="M39" i="1"/>
  <c r="M38" i="1"/>
  <c r="L34" i="1"/>
  <c r="M36" i="1"/>
  <c r="L62" i="1"/>
  <c r="M62" i="1"/>
  <c r="M41" i="1"/>
  <c r="M42" i="1"/>
  <c r="M33" i="1"/>
  <c r="L28" i="1"/>
  <c r="M30" i="1"/>
  <c r="L25" i="1"/>
  <c r="M27" i="1"/>
  <c r="M26" i="1"/>
  <c r="M66" i="1"/>
  <c r="M32" i="1"/>
  <c r="M29" i="1"/>
  <c r="M28" i="1" s="1"/>
  <c r="L56" i="1"/>
  <c r="L53" i="1"/>
  <c r="M55" i="1"/>
  <c r="M54" i="1"/>
  <c r="M58" i="1"/>
  <c r="M57" i="1"/>
  <c r="L94" i="1"/>
  <c r="M95" i="1"/>
  <c r="M69" i="1"/>
  <c r="M52" i="1"/>
  <c r="M23" i="1"/>
  <c r="M17" i="1"/>
  <c r="M16" i="1"/>
  <c r="M15" i="1" s="1"/>
  <c r="M51" i="1"/>
  <c r="L15" i="1"/>
  <c r="B131" i="1"/>
  <c r="B130" i="1"/>
  <c r="M141" i="1"/>
  <c r="M140" i="1" s="1"/>
  <c r="M139" i="1" s="1"/>
  <c r="M138" i="1" s="1"/>
  <c r="M137" i="1" s="1"/>
  <c r="M136" i="1" s="1"/>
  <c r="L141" i="1"/>
  <c r="L140" i="1" s="1"/>
  <c r="L139" i="1" s="1"/>
  <c r="L138" i="1" s="1"/>
  <c r="K141" i="1"/>
  <c r="K140" i="1" s="1"/>
  <c r="K139" i="1" s="1"/>
  <c r="K138" i="1" s="1"/>
  <c r="J141" i="1"/>
  <c r="I141" i="1"/>
  <c r="I140" i="1" s="1"/>
  <c r="H141" i="1"/>
  <c r="H140" i="1" s="1"/>
  <c r="H139" i="1" s="1"/>
  <c r="H138" i="1" s="1"/>
  <c r="H137" i="1" s="1"/>
  <c r="H136" i="1" s="1"/>
  <c r="G141" i="1"/>
  <c r="G140" i="1" s="1"/>
  <c r="G139" i="1" s="1"/>
  <c r="G138" i="1" s="1"/>
  <c r="F141" i="1"/>
  <c r="F140" i="1" s="1"/>
  <c r="F139" i="1" s="1"/>
  <c r="F138" i="1" s="1"/>
  <c r="E141" i="1"/>
  <c r="E140" i="1" s="1"/>
  <c r="E139" i="1" s="1"/>
  <c r="D141" i="1"/>
  <c r="D140" i="1" s="1"/>
  <c r="D139" i="1" s="1"/>
  <c r="D138" i="1" s="1"/>
  <c r="J140" i="1"/>
  <c r="J139" i="1" s="1"/>
  <c r="J138" i="1" s="1"/>
  <c r="B139" i="1"/>
  <c r="B136" i="1"/>
  <c r="B142" i="1"/>
  <c r="E17" i="2"/>
  <c r="E18" i="2"/>
  <c r="E19" i="2"/>
  <c r="M94" i="1" l="1"/>
  <c r="L84" i="1"/>
  <c r="M115" i="1"/>
  <c r="M97" i="1"/>
  <c r="M65" i="1"/>
  <c r="M20" i="1"/>
  <c r="M125" i="1"/>
  <c r="M85" i="1"/>
  <c r="M75" i="1"/>
  <c r="M40" i="1"/>
  <c r="M86" i="1"/>
  <c r="M105" i="1"/>
  <c r="M31" i="1"/>
  <c r="M110" i="1"/>
  <c r="M22" i="1"/>
  <c r="M102" i="1"/>
  <c r="M25" i="1"/>
  <c r="M37" i="1"/>
  <c r="M108" i="1"/>
  <c r="L108" i="1"/>
  <c r="D137" i="1"/>
  <c r="D131" i="1"/>
  <c r="G137" i="1"/>
  <c r="G131" i="1"/>
  <c r="K137" i="1"/>
  <c r="K131" i="1"/>
  <c r="F137" i="1"/>
  <c r="F131" i="1"/>
  <c r="L137" i="1"/>
  <c r="L131" i="1"/>
  <c r="J137" i="1"/>
  <c r="J131" i="1"/>
  <c r="H130" i="1"/>
  <c r="H131" i="1"/>
  <c r="M130" i="1"/>
  <c r="M131" i="1"/>
  <c r="I139" i="1"/>
  <c r="I138" i="1" s="1"/>
  <c r="N140" i="1"/>
  <c r="E138" i="1"/>
  <c r="E131" i="1" s="1"/>
  <c r="L102" i="1"/>
  <c r="L101" i="1"/>
  <c r="M84" i="1" l="1"/>
  <c r="M101" i="1"/>
  <c r="L100" i="1"/>
  <c r="J136" i="1"/>
  <c r="J130" i="1"/>
  <c r="L136" i="1"/>
  <c r="L130" i="1"/>
  <c r="G136" i="1"/>
  <c r="G130" i="1"/>
  <c r="I137" i="1"/>
  <c r="I131" i="1"/>
  <c r="K136" i="1"/>
  <c r="K130" i="1"/>
  <c r="F136" i="1"/>
  <c r="F130" i="1"/>
  <c r="D136" i="1"/>
  <c r="D130" i="1"/>
  <c r="E137" i="1"/>
  <c r="E130" i="1" s="1"/>
  <c r="J82" i="1"/>
  <c r="D19" i="1"/>
  <c r="F19" i="1"/>
  <c r="H19" i="1"/>
  <c r="L19" i="1"/>
  <c r="D20" i="1"/>
  <c r="F20" i="1"/>
  <c r="H20" i="1"/>
  <c r="J20" i="1"/>
  <c r="L20" i="1"/>
  <c r="L106" i="1"/>
  <c r="L105" i="1"/>
  <c r="L112" i="1"/>
  <c r="M112" i="1"/>
  <c r="L88" i="1"/>
  <c r="M88" i="1"/>
  <c r="L78" i="1"/>
  <c r="M78" i="1"/>
  <c r="L22" i="1"/>
  <c r="I136" i="1" l="1"/>
  <c r="I130" i="1"/>
  <c r="E136" i="1"/>
  <c r="N137" i="1"/>
  <c r="L104" i="1"/>
  <c r="L18" i="1"/>
  <c r="L74" i="1"/>
  <c r="F18" i="1"/>
  <c r="D18" i="1"/>
  <c r="H18" i="1"/>
  <c r="L150" i="1" l="1"/>
  <c r="L149" i="1"/>
  <c r="M118" i="1"/>
  <c r="M71" i="1"/>
  <c r="M56" i="1"/>
  <c r="M53" i="1"/>
  <c r="M50" i="1"/>
  <c r="F27" i="2"/>
  <c r="G27" i="2"/>
  <c r="M70" i="1" s="1"/>
  <c r="M76" i="1" s="1"/>
  <c r="F28" i="2"/>
  <c r="G28" i="2"/>
  <c r="F29" i="2"/>
  <c r="G29" i="2"/>
  <c r="G26" i="2"/>
  <c r="F26" i="2"/>
  <c r="J29" i="2"/>
  <c r="J28" i="2"/>
  <c r="J27" i="2"/>
  <c r="J26" i="2"/>
  <c r="J25" i="2"/>
  <c r="E25" i="2" s="1"/>
  <c r="G25" i="2" s="1"/>
  <c r="F25" i="2"/>
  <c r="N147" i="1"/>
  <c r="N146" i="1"/>
  <c r="B109" i="1"/>
  <c r="J24" i="2"/>
  <c r="G24" i="2"/>
  <c r="F24" i="2"/>
  <c r="J23" i="2"/>
  <c r="G23" i="2"/>
  <c r="F23" i="2"/>
  <c r="J22" i="2"/>
  <c r="G22" i="2"/>
  <c r="F22" i="2"/>
  <c r="J21" i="2"/>
  <c r="G21" i="2"/>
  <c r="C135" i="1" s="1"/>
  <c r="F21" i="2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4" i="1" s="1"/>
  <c r="F15" i="2"/>
  <c r="K35" i="1" s="1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4" i="1" s="1"/>
  <c r="J9" i="2"/>
  <c r="E9" i="2" s="1"/>
  <c r="G9" i="2" s="1"/>
  <c r="F9" i="2"/>
  <c r="J8" i="2"/>
  <c r="G8" i="2"/>
  <c r="F8" i="2"/>
  <c r="J7" i="2"/>
  <c r="G7" i="2"/>
  <c r="F7" i="2"/>
  <c r="J6" i="2"/>
  <c r="G6" i="2"/>
  <c r="F6" i="2"/>
  <c r="J5" i="2"/>
  <c r="G5" i="2"/>
  <c r="G24" i="1" s="1"/>
  <c r="F5" i="2"/>
  <c r="G4" i="2"/>
  <c r="F4" i="2"/>
  <c r="C131" i="1" l="1"/>
  <c r="E23" i="1"/>
  <c r="G41" i="1"/>
  <c r="N143" i="1"/>
  <c r="C95" i="1"/>
  <c r="C85" i="1" s="1"/>
  <c r="C143" i="1"/>
  <c r="M123" i="1"/>
  <c r="M35" i="1"/>
  <c r="G23" i="1"/>
  <c r="M74" i="1"/>
  <c r="M68" i="1"/>
  <c r="C144" i="1"/>
  <c r="C96" i="1"/>
  <c r="C70" i="1"/>
  <c r="C33" i="1"/>
  <c r="C31" i="1" s="1"/>
  <c r="C127" i="1"/>
  <c r="C93" i="1"/>
  <c r="C64" i="1"/>
  <c r="C123" i="1"/>
  <c r="C90" i="1"/>
  <c r="C61" i="1"/>
  <c r="C120" i="1"/>
  <c r="C83" i="1"/>
  <c r="C58" i="1"/>
  <c r="C141" i="1"/>
  <c r="C117" i="1"/>
  <c r="C80" i="1"/>
  <c r="C55" i="1"/>
  <c r="C138" i="1"/>
  <c r="C114" i="1"/>
  <c r="C110" i="1" s="1"/>
  <c r="C73" i="1"/>
  <c r="C52" i="1"/>
  <c r="C99" i="1"/>
  <c r="C67" i="1"/>
  <c r="C45" i="1"/>
  <c r="C27" i="1"/>
  <c r="C24" i="1"/>
  <c r="C42" i="1"/>
  <c r="C39" i="1"/>
  <c r="C36" i="1"/>
  <c r="C30" i="1"/>
  <c r="N144" i="1"/>
  <c r="L148" i="1"/>
  <c r="M100" i="1"/>
  <c r="E39" i="1"/>
  <c r="G126" i="1"/>
  <c r="E126" i="1"/>
  <c r="B19" i="1"/>
  <c r="D85" i="1"/>
  <c r="F85" i="1"/>
  <c r="H85" i="1"/>
  <c r="B85" i="1"/>
  <c r="B76" i="1"/>
  <c r="B75" i="1"/>
  <c r="B20" i="1"/>
  <c r="I123" i="1"/>
  <c r="I122" i="1"/>
  <c r="G123" i="1"/>
  <c r="G122" i="1"/>
  <c r="E123" i="1"/>
  <c r="I119" i="1"/>
  <c r="I120" i="1"/>
  <c r="G120" i="1"/>
  <c r="G119" i="1"/>
  <c r="E120" i="1"/>
  <c r="I116" i="1"/>
  <c r="E117" i="1"/>
  <c r="E116" i="1"/>
  <c r="I114" i="1"/>
  <c r="I110" i="1" s="1"/>
  <c r="I113" i="1"/>
  <c r="G114" i="1"/>
  <c r="G110" i="1" s="1"/>
  <c r="E114" i="1"/>
  <c r="G113" i="1"/>
  <c r="G109" i="1" s="1"/>
  <c r="E99" i="1"/>
  <c r="E98" i="1"/>
  <c r="I96" i="1"/>
  <c r="I95" i="1"/>
  <c r="E96" i="1"/>
  <c r="E95" i="1"/>
  <c r="I93" i="1"/>
  <c r="I92" i="1"/>
  <c r="G93" i="1"/>
  <c r="G92" i="1"/>
  <c r="E93" i="1"/>
  <c r="E92" i="1"/>
  <c r="I90" i="1"/>
  <c r="I89" i="1"/>
  <c r="G90" i="1"/>
  <c r="E90" i="1"/>
  <c r="G89" i="1"/>
  <c r="I83" i="1"/>
  <c r="I82" i="1"/>
  <c r="G83" i="1"/>
  <c r="E83" i="1"/>
  <c r="G82" i="1"/>
  <c r="E82" i="1"/>
  <c r="I80" i="1"/>
  <c r="I79" i="1"/>
  <c r="G80" i="1"/>
  <c r="G79" i="1"/>
  <c r="E80" i="1"/>
  <c r="E73" i="1"/>
  <c r="I73" i="1"/>
  <c r="I72" i="1"/>
  <c r="G73" i="1"/>
  <c r="G72" i="1"/>
  <c r="I70" i="1"/>
  <c r="I69" i="1"/>
  <c r="E70" i="1"/>
  <c r="E69" i="1"/>
  <c r="K30" i="1"/>
  <c r="K29" i="1"/>
  <c r="I67" i="1"/>
  <c r="I66" i="1"/>
  <c r="G67" i="1"/>
  <c r="G66" i="1"/>
  <c r="E67" i="1"/>
  <c r="E66" i="1"/>
  <c r="I64" i="1"/>
  <c r="I63" i="1"/>
  <c r="G64" i="1"/>
  <c r="G63" i="1"/>
  <c r="E64" i="1"/>
  <c r="E63" i="1"/>
  <c r="E61" i="1"/>
  <c r="I61" i="1"/>
  <c r="I60" i="1"/>
  <c r="G61" i="1"/>
  <c r="G60" i="1"/>
  <c r="I58" i="1"/>
  <c r="I57" i="1"/>
  <c r="E58" i="1"/>
  <c r="E57" i="1"/>
  <c r="I55" i="1"/>
  <c r="I54" i="1"/>
  <c r="G55" i="1"/>
  <c r="G54" i="1"/>
  <c r="E55" i="1"/>
  <c r="I52" i="1"/>
  <c r="I51" i="1"/>
  <c r="G52" i="1"/>
  <c r="G51" i="1"/>
  <c r="E51" i="1"/>
  <c r="E52" i="1"/>
  <c r="K48" i="1"/>
  <c r="I48" i="1"/>
  <c r="I47" i="1"/>
  <c r="E45" i="1"/>
  <c r="E44" i="1"/>
  <c r="E41" i="1"/>
  <c r="K42" i="1"/>
  <c r="I42" i="1"/>
  <c r="I41" i="1"/>
  <c r="G42" i="1"/>
  <c r="K39" i="1"/>
  <c r="K38" i="1"/>
  <c r="I39" i="1"/>
  <c r="I38" i="1"/>
  <c r="G39" i="1"/>
  <c r="G38" i="1"/>
  <c r="E42" i="1"/>
  <c r="K36" i="1"/>
  <c r="K34" i="1" s="1"/>
  <c r="I36" i="1"/>
  <c r="I35" i="1"/>
  <c r="G36" i="1"/>
  <c r="G35" i="1"/>
  <c r="E36" i="1"/>
  <c r="K33" i="1"/>
  <c r="K32" i="1"/>
  <c r="I33" i="1"/>
  <c r="I32" i="1"/>
  <c r="E33" i="1"/>
  <c r="E32" i="1"/>
  <c r="I30" i="1"/>
  <c r="I29" i="1"/>
  <c r="E30" i="1"/>
  <c r="E29" i="1"/>
  <c r="K27" i="1"/>
  <c r="K26" i="1"/>
  <c r="I27" i="1"/>
  <c r="I26" i="1"/>
  <c r="I23" i="1"/>
  <c r="G27" i="1"/>
  <c r="E27" i="1"/>
  <c r="E24" i="1"/>
  <c r="K17" i="1"/>
  <c r="K16" i="1"/>
  <c r="I17" i="1"/>
  <c r="I16" i="1"/>
  <c r="E122" i="1"/>
  <c r="E119" i="1"/>
  <c r="E113" i="1"/>
  <c r="E89" i="1"/>
  <c r="E79" i="1"/>
  <c r="E72" i="1"/>
  <c r="E60" i="1"/>
  <c r="E38" i="1"/>
  <c r="E35" i="1"/>
  <c r="G26" i="1"/>
  <c r="E26" i="1"/>
  <c r="N42" i="1" l="1"/>
  <c r="C106" i="1"/>
  <c r="N30" i="1"/>
  <c r="C20" i="1"/>
  <c r="N24" i="1"/>
  <c r="M106" i="1"/>
  <c r="M121" i="1"/>
  <c r="M34" i="1"/>
  <c r="M19" i="1"/>
  <c r="G86" i="1"/>
  <c r="N27" i="1"/>
  <c r="N55" i="1"/>
  <c r="C86" i="1"/>
  <c r="C102" i="1" s="1"/>
  <c r="C142" i="1"/>
  <c r="N142" i="1" s="1"/>
  <c r="C130" i="1"/>
  <c r="C129" i="1" s="1"/>
  <c r="N45" i="1"/>
  <c r="C84" i="1"/>
  <c r="C101" i="1"/>
  <c r="C68" i="1"/>
  <c r="C76" i="1"/>
  <c r="I40" i="1"/>
  <c r="I91" i="1"/>
  <c r="I106" i="1"/>
  <c r="E19" i="1"/>
  <c r="I20" i="1"/>
  <c r="K37" i="1"/>
  <c r="G85" i="1"/>
  <c r="G101" i="1" s="1"/>
  <c r="K20" i="1"/>
  <c r="G75" i="1"/>
  <c r="I109" i="1"/>
  <c r="I105" i="1" s="1"/>
  <c r="G20" i="1"/>
  <c r="G19" i="1"/>
  <c r="K15" i="1"/>
  <c r="I76" i="1"/>
  <c r="E56" i="1"/>
  <c r="G105" i="1"/>
  <c r="E85" i="1"/>
  <c r="E101" i="1" s="1"/>
  <c r="E88" i="1"/>
  <c r="E34" i="1"/>
  <c r="N35" i="1"/>
  <c r="E109" i="1"/>
  <c r="E112" i="1"/>
  <c r="E76" i="1"/>
  <c r="E110" i="1"/>
  <c r="E106" i="1" s="1"/>
  <c r="E20" i="1"/>
  <c r="E43" i="1"/>
  <c r="E75" i="1"/>
  <c r="G53" i="1"/>
  <c r="E86" i="1"/>
  <c r="E102" i="1" s="1"/>
  <c r="G106" i="1"/>
  <c r="G121" i="1"/>
  <c r="G76" i="1"/>
  <c r="E59" i="1"/>
  <c r="G102" i="1"/>
  <c r="I85" i="1"/>
  <c r="I101" i="1" s="1"/>
  <c r="I88" i="1"/>
  <c r="N36" i="1"/>
  <c r="C65" i="1"/>
  <c r="C53" i="1"/>
  <c r="E78" i="1"/>
  <c r="I19" i="1"/>
  <c r="I75" i="1"/>
  <c r="G62" i="1"/>
  <c r="E68" i="1"/>
  <c r="I86" i="1"/>
  <c r="I102" i="1" s="1"/>
  <c r="E115" i="1"/>
  <c r="N39" i="1"/>
  <c r="C136" i="1"/>
  <c r="N136" i="1" s="1"/>
  <c r="N138" i="1"/>
  <c r="C91" i="1"/>
  <c r="C50" i="1"/>
  <c r="C78" i="1"/>
  <c r="C139" i="1"/>
  <c r="N139" i="1" s="1"/>
  <c r="N141" i="1"/>
  <c r="C133" i="1"/>
  <c r="N135" i="1"/>
  <c r="N131" i="1" s="1"/>
  <c r="I53" i="1"/>
  <c r="G59" i="1"/>
  <c r="N98" i="1"/>
  <c r="I121" i="1"/>
  <c r="C25" i="1"/>
  <c r="C81" i="1"/>
  <c r="E62" i="1"/>
  <c r="C59" i="1"/>
  <c r="N33" i="1"/>
  <c r="K31" i="1"/>
  <c r="I81" i="1"/>
  <c r="I118" i="1"/>
  <c r="E118" i="1"/>
  <c r="E31" i="1"/>
  <c r="I62" i="1"/>
  <c r="I65" i="1"/>
  <c r="I68" i="1"/>
  <c r="E121" i="1"/>
  <c r="I112" i="1"/>
  <c r="E28" i="1"/>
  <c r="N44" i="1"/>
  <c r="E81" i="1"/>
  <c r="C88" i="1"/>
  <c r="C94" i="1"/>
  <c r="G37" i="1"/>
  <c r="G50" i="1"/>
  <c r="I56" i="1"/>
  <c r="G91" i="1"/>
  <c r="N134" i="1"/>
  <c r="C125" i="1"/>
  <c r="C62" i="1"/>
  <c r="C56" i="1"/>
  <c r="G118" i="1"/>
  <c r="G25" i="1"/>
  <c r="E22" i="1"/>
  <c r="I34" i="1"/>
  <c r="I59" i="1"/>
  <c r="N32" i="1"/>
  <c r="N38" i="1"/>
  <c r="C121" i="1"/>
  <c r="E91" i="1"/>
  <c r="I50" i="1"/>
  <c r="E97" i="1"/>
  <c r="E94" i="1"/>
  <c r="G78" i="1"/>
  <c r="G65" i="1"/>
  <c r="N117" i="1"/>
  <c r="N29" i="1"/>
  <c r="N26" i="1"/>
  <c r="I15" i="1"/>
  <c r="I37" i="1"/>
  <c r="G81" i="1"/>
  <c r="G108" i="1"/>
  <c r="E71" i="1"/>
  <c r="E17" i="1"/>
  <c r="E16" i="1"/>
  <c r="D129" i="1"/>
  <c r="F129" i="1"/>
  <c r="H129" i="1"/>
  <c r="I129" i="1"/>
  <c r="J129" i="1"/>
  <c r="K129" i="1"/>
  <c r="B129" i="1"/>
  <c r="D121" i="1"/>
  <c r="F121" i="1"/>
  <c r="H121" i="1"/>
  <c r="D94" i="1"/>
  <c r="F94" i="1"/>
  <c r="G94" i="1"/>
  <c r="H94" i="1"/>
  <c r="I94" i="1"/>
  <c r="D91" i="1"/>
  <c r="F91" i="1"/>
  <c r="H91" i="1"/>
  <c r="D88" i="1"/>
  <c r="F88" i="1"/>
  <c r="G88" i="1"/>
  <c r="H88" i="1"/>
  <c r="B94" i="1"/>
  <c r="B91" i="1"/>
  <c r="B88" i="1"/>
  <c r="D81" i="1"/>
  <c r="F81" i="1"/>
  <c r="H81" i="1"/>
  <c r="B81" i="1"/>
  <c r="D78" i="1"/>
  <c r="F78" i="1"/>
  <c r="H78" i="1"/>
  <c r="I78" i="1"/>
  <c r="B78" i="1"/>
  <c r="B74" i="1"/>
  <c r="D75" i="1"/>
  <c r="F75" i="1"/>
  <c r="H75" i="1"/>
  <c r="D71" i="1"/>
  <c r="F71" i="1"/>
  <c r="G71" i="1"/>
  <c r="H71" i="1"/>
  <c r="I71" i="1"/>
  <c r="D68" i="1"/>
  <c r="F68" i="1"/>
  <c r="G68" i="1"/>
  <c r="H68" i="1"/>
  <c r="D65" i="1"/>
  <c r="E65" i="1"/>
  <c r="F65" i="1"/>
  <c r="H65" i="1"/>
  <c r="D62" i="1"/>
  <c r="F62" i="1"/>
  <c r="H62" i="1"/>
  <c r="D59" i="1"/>
  <c r="F59" i="1"/>
  <c r="H59" i="1"/>
  <c r="D56" i="1"/>
  <c r="F56" i="1"/>
  <c r="G56" i="1"/>
  <c r="H56" i="1"/>
  <c r="B71" i="1"/>
  <c r="B68" i="1"/>
  <c r="B65" i="1"/>
  <c r="B62" i="1"/>
  <c r="B59" i="1"/>
  <c r="B56" i="1"/>
  <c r="D53" i="1"/>
  <c r="E53" i="1"/>
  <c r="F53" i="1"/>
  <c r="H53" i="1"/>
  <c r="B53" i="1"/>
  <c r="D50" i="1"/>
  <c r="E50" i="1"/>
  <c r="F50" i="1"/>
  <c r="H50" i="1"/>
  <c r="B50" i="1"/>
  <c r="D46" i="1"/>
  <c r="E46" i="1"/>
  <c r="F46" i="1"/>
  <c r="G46" i="1"/>
  <c r="H46" i="1"/>
  <c r="I46" i="1"/>
  <c r="B46" i="1"/>
  <c r="J47" i="1"/>
  <c r="D43" i="1"/>
  <c r="F43" i="1"/>
  <c r="G43" i="1"/>
  <c r="H43" i="1"/>
  <c r="I43" i="1"/>
  <c r="J43" i="1"/>
  <c r="K43" i="1"/>
  <c r="B43" i="1"/>
  <c r="J41" i="1"/>
  <c r="D40" i="1"/>
  <c r="E40" i="1"/>
  <c r="F40" i="1"/>
  <c r="G40" i="1"/>
  <c r="H40" i="1"/>
  <c r="B40" i="1"/>
  <c r="D37" i="1"/>
  <c r="E37" i="1"/>
  <c r="F37" i="1"/>
  <c r="H37" i="1"/>
  <c r="J37" i="1"/>
  <c r="B37" i="1"/>
  <c r="D34" i="1"/>
  <c r="F34" i="1"/>
  <c r="G34" i="1"/>
  <c r="H34" i="1"/>
  <c r="J34" i="1"/>
  <c r="B34" i="1"/>
  <c r="D31" i="1"/>
  <c r="F31" i="1"/>
  <c r="G31" i="1"/>
  <c r="H31" i="1"/>
  <c r="I31" i="1"/>
  <c r="J31" i="1"/>
  <c r="B31" i="1"/>
  <c r="D28" i="1"/>
  <c r="F28" i="1"/>
  <c r="G28" i="1"/>
  <c r="H28" i="1"/>
  <c r="I28" i="1"/>
  <c r="J28" i="1"/>
  <c r="K28" i="1"/>
  <c r="B28" i="1"/>
  <c r="D25" i="1"/>
  <c r="E25" i="1"/>
  <c r="F25" i="1"/>
  <c r="H25" i="1"/>
  <c r="I25" i="1"/>
  <c r="J25" i="1"/>
  <c r="K25" i="1"/>
  <c r="B25" i="1"/>
  <c r="D22" i="1"/>
  <c r="F22" i="1"/>
  <c r="G22" i="1"/>
  <c r="H22" i="1"/>
  <c r="I22" i="1"/>
  <c r="J23" i="1"/>
  <c r="K23" i="1" s="1"/>
  <c r="J73" i="1"/>
  <c r="K73" i="1" s="1"/>
  <c r="N73" i="1" s="1"/>
  <c r="J72" i="1"/>
  <c r="J70" i="1"/>
  <c r="K70" i="1" s="1"/>
  <c r="N70" i="1" s="1"/>
  <c r="J69" i="1"/>
  <c r="J67" i="1"/>
  <c r="K67" i="1" s="1"/>
  <c r="N67" i="1" s="1"/>
  <c r="J64" i="1"/>
  <c r="K64" i="1" s="1"/>
  <c r="N64" i="1" s="1"/>
  <c r="J63" i="1"/>
  <c r="J61" i="1"/>
  <c r="K61" i="1" s="1"/>
  <c r="N61" i="1" s="1"/>
  <c r="J60" i="1"/>
  <c r="J58" i="1"/>
  <c r="K58" i="1" s="1"/>
  <c r="N58" i="1" s="1"/>
  <c r="J57" i="1"/>
  <c r="K57" i="1" s="1"/>
  <c r="J55" i="1"/>
  <c r="K55" i="1" s="1"/>
  <c r="J54" i="1"/>
  <c r="N54" i="1" s="1"/>
  <c r="J51" i="1"/>
  <c r="J52" i="1"/>
  <c r="K52" i="1" s="1"/>
  <c r="N52" i="1" s="1"/>
  <c r="D76" i="1"/>
  <c r="F76" i="1"/>
  <c r="H76" i="1"/>
  <c r="J80" i="1"/>
  <c r="K80" i="1" s="1"/>
  <c r="N80" i="1" s="1"/>
  <c r="J79" i="1"/>
  <c r="K79" i="1" s="1"/>
  <c r="J83" i="1"/>
  <c r="K83" i="1" s="1"/>
  <c r="N83" i="1" s="1"/>
  <c r="J99" i="1"/>
  <c r="K99" i="1" s="1"/>
  <c r="N99" i="1" s="1"/>
  <c r="J98" i="1"/>
  <c r="J96" i="1"/>
  <c r="J95" i="1"/>
  <c r="K95" i="1" s="1"/>
  <c r="J93" i="1"/>
  <c r="K93" i="1" s="1"/>
  <c r="N93" i="1" s="1"/>
  <c r="K92" i="1"/>
  <c r="N92" i="1" s="1"/>
  <c r="J89" i="1"/>
  <c r="J90" i="1"/>
  <c r="K90" i="1" s="1"/>
  <c r="N90" i="1" s="1"/>
  <c r="G129" i="1"/>
  <c r="D133" i="1"/>
  <c r="E133" i="1"/>
  <c r="F133" i="1"/>
  <c r="G133" i="1"/>
  <c r="H133" i="1"/>
  <c r="I133" i="1"/>
  <c r="J133" i="1"/>
  <c r="K133" i="1"/>
  <c r="B133" i="1"/>
  <c r="B121" i="1"/>
  <c r="D118" i="1"/>
  <c r="F118" i="1"/>
  <c r="H118" i="1"/>
  <c r="B118" i="1"/>
  <c r="D115" i="1"/>
  <c r="F115" i="1"/>
  <c r="G115" i="1"/>
  <c r="H115" i="1"/>
  <c r="I115" i="1"/>
  <c r="B115" i="1"/>
  <c r="D112" i="1"/>
  <c r="F112" i="1"/>
  <c r="G112" i="1"/>
  <c r="H112" i="1"/>
  <c r="B112" i="1"/>
  <c r="D109" i="1"/>
  <c r="D105" i="1" s="1"/>
  <c r="F109" i="1"/>
  <c r="F105" i="1" s="1"/>
  <c r="H109" i="1"/>
  <c r="H105" i="1" s="1"/>
  <c r="B105" i="1"/>
  <c r="D110" i="1"/>
  <c r="D106" i="1" s="1"/>
  <c r="F110" i="1"/>
  <c r="F106" i="1" s="1"/>
  <c r="H110" i="1"/>
  <c r="H106" i="1" s="1"/>
  <c r="B110" i="1"/>
  <c r="B106" i="1" s="1"/>
  <c r="J123" i="1"/>
  <c r="K123" i="1" s="1"/>
  <c r="N123" i="1" s="1"/>
  <c r="J122" i="1"/>
  <c r="J120" i="1"/>
  <c r="K120" i="1" s="1"/>
  <c r="J119" i="1"/>
  <c r="J117" i="1"/>
  <c r="J116" i="1"/>
  <c r="K116" i="1" s="1"/>
  <c r="K115" i="1" s="1"/>
  <c r="J114" i="1"/>
  <c r="K114" i="1" s="1"/>
  <c r="K110" i="1" s="1"/>
  <c r="J113" i="1"/>
  <c r="K113" i="1" s="1"/>
  <c r="D97" i="1"/>
  <c r="F97" i="1"/>
  <c r="G97" i="1"/>
  <c r="H97" i="1"/>
  <c r="I97" i="1"/>
  <c r="B97" i="1"/>
  <c r="D101" i="1"/>
  <c r="F101" i="1"/>
  <c r="H101" i="1"/>
  <c r="B101" i="1"/>
  <c r="D86" i="1"/>
  <c r="D102" i="1" s="1"/>
  <c r="F86" i="1"/>
  <c r="F102" i="1" s="1"/>
  <c r="H86" i="1"/>
  <c r="H102" i="1" s="1"/>
  <c r="B86" i="1"/>
  <c r="B102" i="1" s="1"/>
  <c r="C97" i="1"/>
  <c r="C17" i="1"/>
  <c r="C16" i="1"/>
  <c r="C48" i="1"/>
  <c r="N48" i="1" s="1"/>
  <c r="N110" i="1" l="1"/>
  <c r="M149" i="1"/>
  <c r="M18" i="1"/>
  <c r="C150" i="1"/>
  <c r="M104" i="1"/>
  <c r="M150" i="1"/>
  <c r="I104" i="1"/>
  <c r="C149" i="1"/>
  <c r="E18" i="1"/>
  <c r="C100" i="1"/>
  <c r="N20" i="1"/>
  <c r="G104" i="1"/>
  <c r="C18" i="1"/>
  <c r="G149" i="1"/>
  <c r="E15" i="1"/>
  <c r="K106" i="1"/>
  <c r="G18" i="1"/>
  <c r="I100" i="1"/>
  <c r="I18" i="1"/>
  <c r="E74" i="1"/>
  <c r="N113" i="1"/>
  <c r="K109" i="1"/>
  <c r="K56" i="1"/>
  <c r="N56" i="1" s="1"/>
  <c r="N25" i="1"/>
  <c r="N57" i="1"/>
  <c r="E84" i="1"/>
  <c r="E105" i="1"/>
  <c r="E149" i="1" s="1"/>
  <c r="E108" i="1"/>
  <c r="N53" i="1"/>
  <c r="K76" i="1"/>
  <c r="N31" i="1"/>
  <c r="I84" i="1"/>
  <c r="N79" i="1"/>
  <c r="N116" i="1"/>
  <c r="N130" i="1"/>
  <c r="I74" i="1"/>
  <c r="J19" i="1"/>
  <c r="J18" i="1" s="1"/>
  <c r="K22" i="1"/>
  <c r="K91" i="1"/>
  <c r="N91" i="1" s="1"/>
  <c r="N23" i="1"/>
  <c r="N95" i="1"/>
  <c r="N120" i="1"/>
  <c r="E100" i="1"/>
  <c r="N114" i="1"/>
  <c r="K97" i="1"/>
  <c r="N97" i="1" s="1"/>
  <c r="B149" i="1"/>
  <c r="N16" i="1"/>
  <c r="N17" i="1"/>
  <c r="D149" i="1"/>
  <c r="B150" i="1"/>
  <c r="C118" i="1"/>
  <c r="D74" i="1"/>
  <c r="H149" i="1"/>
  <c r="F149" i="1"/>
  <c r="K53" i="1"/>
  <c r="H150" i="1"/>
  <c r="C40" i="1"/>
  <c r="D150" i="1"/>
  <c r="F150" i="1"/>
  <c r="J97" i="1"/>
  <c r="H74" i="1"/>
  <c r="J121" i="1"/>
  <c r="K122" i="1"/>
  <c r="N122" i="1" s="1"/>
  <c r="K112" i="1"/>
  <c r="J81" i="1"/>
  <c r="K82" i="1"/>
  <c r="N82" i="1" s="1"/>
  <c r="J50" i="1"/>
  <c r="K51" i="1"/>
  <c r="J78" i="1"/>
  <c r="J88" i="1"/>
  <c r="C37" i="1"/>
  <c r="N37" i="1" s="1"/>
  <c r="J62" i="1"/>
  <c r="K63" i="1"/>
  <c r="N63" i="1" s="1"/>
  <c r="J71" i="1"/>
  <c r="K72" i="1"/>
  <c r="N72" i="1" s="1"/>
  <c r="J56" i="1"/>
  <c r="F74" i="1"/>
  <c r="N133" i="1"/>
  <c r="J94" i="1"/>
  <c r="K96" i="1"/>
  <c r="N96" i="1" s="1"/>
  <c r="J65" i="1"/>
  <c r="K66" i="1"/>
  <c r="J91" i="1"/>
  <c r="C71" i="1"/>
  <c r="J118" i="1"/>
  <c r="K119" i="1"/>
  <c r="J53" i="1"/>
  <c r="J75" i="1"/>
  <c r="K89" i="1"/>
  <c r="J85" i="1"/>
  <c r="J59" i="1"/>
  <c r="K60" i="1"/>
  <c r="N60" i="1" s="1"/>
  <c r="J68" i="1"/>
  <c r="K69" i="1"/>
  <c r="N69" i="1" s="1"/>
  <c r="K47" i="1"/>
  <c r="J46" i="1"/>
  <c r="K78" i="1"/>
  <c r="N78" i="1" s="1"/>
  <c r="G84" i="1"/>
  <c r="C46" i="1"/>
  <c r="C28" i="1"/>
  <c r="N28" i="1" s="1"/>
  <c r="C43" i="1"/>
  <c r="N43" i="1" s="1"/>
  <c r="G74" i="1"/>
  <c r="C34" i="1"/>
  <c r="N34" i="1" s="1"/>
  <c r="J22" i="1"/>
  <c r="J40" i="1"/>
  <c r="K41" i="1"/>
  <c r="K40" i="1" s="1"/>
  <c r="J86" i="1"/>
  <c r="J102" i="1" s="1"/>
  <c r="H84" i="1"/>
  <c r="F84" i="1"/>
  <c r="D84" i="1"/>
  <c r="B84" i="1"/>
  <c r="B22" i="1"/>
  <c r="B18" i="1"/>
  <c r="J76" i="1"/>
  <c r="J112" i="1"/>
  <c r="B104" i="1"/>
  <c r="D104" i="1"/>
  <c r="J115" i="1"/>
  <c r="I108" i="1"/>
  <c r="C112" i="1"/>
  <c r="C115" i="1"/>
  <c r="N115" i="1" s="1"/>
  <c r="F104" i="1"/>
  <c r="H104" i="1"/>
  <c r="F108" i="1"/>
  <c r="H108" i="1"/>
  <c r="J109" i="1"/>
  <c r="J105" i="1" s="1"/>
  <c r="B108" i="1"/>
  <c r="B100" i="1"/>
  <c r="J110" i="1"/>
  <c r="J106" i="1" s="1"/>
  <c r="D100" i="1"/>
  <c r="D108" i="1"/>
  <c r="H100" i="1"/>
  <c r="G100" i="1"/>
  <c r="F100" i="1"/>
  <c r="E145" i="1"/>
  <c r="C145" i="1"/>
  <c r="N40" i="1" l="1"/>
  <c r="N112" i="1"/>
  <c r="M148" i="1"/>
  <c r="N106" i="1"/>
  <c r="E104" i="1"/>
  <c r="K65" i="1"/>
  <c r="N65" i="1" s="1"/>
  <c r="N66" i="1"/>
  <c r="K85" i="1"/>
  <c r="K101" i="1" s="1"/>
  <c r="N101" i="1" s="1"/>
  <c r="K88" i="1"/>
  <c r="N89" i="1"/>
  <c r="N88" i="1" s="1"/>
  <c r="K118" i="1"/>
  <c r="N118" i="1" s="1"/>
  <c r="N119" i="1"/>
  <c r="K75" i="1"/>
  <c r="K86" i="1"/>
  <c r="K19" i="1"/>
  <c r="N76" i="1"/>
  <c r="K105" i="1"/>
  <c r="N105" i="1" s="1"/>
  <c r="K71" i="1"/>
  <c r="N71" i="1" s="1"/>
  <c r="K50" i="1"/>
  <c r="N50" i="1" s="1"/>
  <c r="N41" i="1"/>
  <c r="K46" i="1"/>
  <c r="N46" i="1" s="1"/>
  <c r="C104" i="1"/>
  <c r="K59" i="1"/>
  <c r="N59" i="1" s="1"/>
  <c r="K62" i="1"/>
  <c r="N62" i="1" s="1"/>
  <c r="K68" i="1"/>
  <c r="N68" i="1" s="1"/>
  <c r="K108" i="1"/>
  <c r="K94" i="1"/>
  <c r="N94" i="1" s="1"/>
  <c r="B148" i="1"/>
  <c r="K81" i="1"/>
  <c r="N81" i="1" s="1"/>
  <c r="H148" i="1"/>
  <c r="J150" i="1"/>
  <c r="N51" i="1"/>
  <c r="F148" i="1"/>
  <c r="N129" i="1"/>
  <c r="N47" i="1"/>
  <c r="K121" i="1"/>
  <c r="N121" i="1" s="1"/>
  <c r="N109" i="1"/>
  <c r="J74" i="1"/>
  <c r="C74" i="1"/>
  <c r="C22" i="1"/>
  <c r="N22" i="1" s="1"/>
  <c r="J108" i="1"/>
  <c r="J101" i="1"/>
  <c r="J149" i="1" s="1"/>
  <c r="J84" i="1"/>
  <c r="D148" i="1"/>
  <c r="J104" i="1"/>
  <c r="C108" i="1"/>
  <c r="N19" i="1" l="1"/>
  <c r="N18" i="1" s="1"/>
  <c r="K74" i="1"/>
  <c r="N75" i="1"/>
  <c r="N74" i="1" s="1"/>
  <c r="N108" i="1"/>
  <c r="K102" i="1"/>
  <c r="N86" i="1"/>
  <c r="K84" i="1"/>
  <c r="N84" i="1" s="1"/>
  <c r="N85" i="1"/>
  <c r="C148" i="1"/>
  <c r="K104" i="1"/>
  <c r="N104" i="1" s="1"/>
  <c r="K18" i="1"/>
  <c r="J100" i="1"/>
  <c r="J148" i="1"/>
  <c r="K145" i="1"/>
  <c r="N145" i="1" s="1"/>
  <c r="K100" i="1" l="1"/>
  <c r="N100" i="1" s="1"/>
  <c r="N102" i="1"/>
  <c r="Q15" i="2" l="1"/>
  <c r="R13" i="2"/>
  <c r="R11" i="2"/>
  <c r="P6" i="2"/>
  <c r="P5" i="2"/>
  <c r="P4" i="2"/>
  <c r="R4" i="2" l="1"/>
  <c r="R6" i="2"/>
  <c r="R5" i="2"/>
  <c r="J15" i="1"/>
  <c r="H15" i="1"/>
  <c r="F15" i="1"/>
  <c r="D15" i="1"/>
  <c r="B15" i="1"/>
  <c r="J125" i="1"/>
  <c r="H125" i="1"/>
  <c r="F125" i="1"/>
  <c r="D125" i="1"/>
  <c r="B125" i="1"/>
  <c r="R15" i="2" l="1"/>
  <c r="R16" i="2"/>
  <c r="R3" i="2"/>
  <c r="R7" i="2" s="1"/>
  <c r="R8" i="2" s="1"/>
  <c r="P3" i="2"/>
  <c r="P7" i="2" s="1"/>
  <c r="P8" i="2" s="1"/>
  <c r="K126" i="1"/>
  <c r="K149" i="1" s="1"/>
  <c r="I126" i="1"/>
  <c r="E127" i="1"/>
  <c r="E150" i="1" s="1"/>
  <c r="G127" i="1"/>
  <c r="K127" i="1"/>
  <c r="K150" i="1" s="1"/>
  <c r="I127" i="1"/>
  <c r="I150" i="1" s="1"/>
  <c r="K148" i="1" l="1"/>
  <c r="N126" i="1"/>
  <c r="N149" i="1" s="1"/>
  <c r="I149" i="1"/>
  <c r="I148" i="1" s="1"/>
  <c r="G150" i="1"/>
  <c r="G148" i="1" s="1"/>
  <c r="N127" i="1"/>
  <c r="X15" i="2"/>
  <c r="T16" i="2"/>
  <c r="T7" i="2"/>
  <c r="X16" i="2"/>
  <c r="T8" i="2"/>
  <c r="E125" i="1"/>
  <c r="G15" i="1"/>
  <c r="I125" i="1"/>
  <c r="G125" i="1"/>
  <c r="C15" i="1"/>
  <c r="K125" i="1"/>
  <c r="N125" i="1" l="1"/>
  <c r="N150" i="1"/>
  <c r="N15" i="1"/>
  <c r="E148" i="1"/>
  <c r="N148" i="1" s="1"/>
  <c r="Z17" i="2"/>
  <c r="X17" i="2"/>
</calcChain>
</file>

<file path=xl/sharedStrings.xml><?xml version="1.0" encoding="utf-8"?>
<sst xmlns="http://schemas.openxmlformats.org/spreadsheetml/2006/main" count="232" uniqueCount="106">
  <si>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</si>
  <si>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</si>
  <si>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</si>
  <si>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</si>
  <si>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</si>
  <si>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</si>
  <si>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</si>
  <si>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</si>
  <si>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руб.</t>
  </si>
  <si>
    <t>куб. м.</t>
  </si>
  <si>
    <t>в том числе:</t>
  </si>
  <si>
    <t>п. Стекольный</t>
  </si>
  <si>
    <t>п. Атка</t>
  </si>
  <si>
    <t>п. Талая</t>
  </si>
  <si>
    <t>кВт/час</t>
  </si>
  <si>
    <t>п. Палатка</t>
  </si>
  <si>
    <t>1 полугодие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</si>
  <si>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</si>
  <si>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</si>
  <si>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</si>
  <si>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</si>
  <si>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</si>
  <si>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</si>
  <si>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</si>
  <si>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</si>
  <si>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</si>
  <si>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</si>
  <si>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</si>
  <si>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</si>
  <si>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</si>
  <si>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</si>
  <si>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</si>
  <si>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</si>
  <si>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2 полугодие</t>
  </si>
  <si>
    <t>палатка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</si>
  <si>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</si>
  <si>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</si>
  <si>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</si>
  <si>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</si>
  <si>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</si>
  <si>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</si>
  <si>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</si>
  <si>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</si>
  <si>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</si>
  <si>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</si>
  <si>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</si>
  <si>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</si>
  <si>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</si>
  <si>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</si>
  <si>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</si>
  <si>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</si>
  <si>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вывоз ТКО</t>
  </si>
  <si>
    <t>Вывоз ТКО</t>
  </si>
  <si>
    <t>Тарифы на 2024 год</t>
  </si>
  <si>
    <t>п. Хасын</t>
  </si>
  <si>
    <t>Лимиты потребления энергоресурсов и коммунальных услуг на 2024 год</t>
  </si>
  <si>
    <t>Комитет жизнеобеспечения территории Администрации Хасынского муниципального округа Магаданской области (уличное освещение)</t>
  </si>
  <si>
    <t>Комитет по управлению муниципальным имуществом Хасынского 
муниципального округа Магаданской области 
(пустующий жилфонд)</t>
  </si>
  <si>
    <t xml:space="preserve">                  к постановлению Администрации</t>
  </si>
  <si>
    <t xml:space="preserve">                     Хасынского муниципального </t>
  </si>
  <si>
    <t xml:space="preserve">                      округа Магаданской области</t>
  </si>
  <si>
    <t xml:space="preserve">                      от _____________ № ____ </t>
  </si>
  <si>
    <t>Итого, тыс. рублей</t>
  </si>
  <si>
    <t>тыс. рублей</t>
  </si>
  <si>
    <t>рублей</t>
  </si>
  <si>
    <t>тыс.      Рублей</t>
  </si>
  <si>
    <t>Всего:</t>
  </si>
  <si>
    <t>Всего по округу:</t>
  </si>
  <si>
    <t>Образование</t>
  </si>
  <si>
    <t>Культура</t>
  </si>
  <si>
    <t>Спорт</t>
  </si>
  <si>
    <t>Средства массовой информации</t>
  </si>
  <si>
    <t>Прочие</t>
  </si>
  <si>
    <t>Муниципальное управление</t>
  </si>
  <si>
    <t xml:space="preserve">    Приложение </t>
  </si>
  <si>
    <t xml:space="preserve">Муниципальное казенное учреждение «Централизованная бухгалтерия 
Хасынского муниципального округа Магаданской области»,
п. Палатка, ул. Ленина, д. 74
</t>
  </si>
  <si>
    <t xml:space="preserve">Муниципальное казенное учреждение «Управление по обеспечению деятельности органов местного самоуправления Хасынского муниципального округа 
Магаданской области», п. Палатка, ул. Юбилейная, д. 16 
</t>
  </si>
  <si>
    <t xml:space="preserve">Собрание представителей Хасынского муниципального округа Магаданской области,                        п. Палатка, ул. Центральная, д. 24,                </t>
  </si>
  <si>
    <t xml:space="preserve">Здание Администрации Хасынского муниципального округа Магаданской области, п. Палатка,
 ул. Ленина, д. 76
</t>
  </si>
  <si>
    <t xml:space="preserve">Территориальный отдел п. Талая Администрации Хасынского 
муниципального округа                                                                                    Магаданской области,
п. Талая, ул. Зеленая, д. 6
</t>
  </si>
  <si>
    <t>Отдел записи актов гражданского состояния Администрации Хасынского муниципального округа Магаданской области, п. Палатка, ул. Космонавтов, д. 11</t>
  </si>
  <si>
    <t>Баня, п. Палатка,                                         ул. Пионерская, д. 24</t>
  </si>
  <si>
    <t xml:space="preserve">Здание муниципального казенного учреждения «Управление по обеспечению деятельности органов местного самоуправления Хасынского муниципального округа 
Магаданской области», п. Палатка, ул. Юбилейная, д. 16 
</t>
  </si>
  <si>
    <t>Гаражи, п. Палатка, ул. Юбилейная, д. 21, д. 25, ул. Школьная, д. 5,        ул. Юбилейная, д. 16,                                                          ул. Ленина, д. 74, д. 76</t>
  </si>
  <si>
    <t xml:space="preserve">Муниципальное бюджетное дошкольное образовательное учреждение «Детский сад № 1»,                                            п. Палатка </t>
  </si>
  <si>
    <t xml:space="preserve">Муниципальное бюджетное общеобразовательное учреждение «Средняя общеобразовательная школа № 2»,                                                  п. Палатка, ул. Ленина, д. 1 </t>
  </si>
  <si>
    <t>Муниципальное бюджетное общеобразовательное учреждение «Средняя общеобразовательная школа», п. Талая,                                                      ул. Зеленая, д. 4</t>
  </si>
  <si>
    <t>Муниципальное бюджетное общеобразовательное учреждение «Средняя общеобразовательная школа», п. Стекольный,                         ул. Советская, д. 10</t>
  </si>
  <si>
    <t xml:space="preserve">Муниципальное бюджетное дошкольное образовательное учреждение «Детский сад»,                            п. Хасын, ул. Геологов, д. 39 </t>
  </si>
  <si>
    <t>Муниципальное бюджетное дошкольное образовательное учреждение детский сад «Светлячок» п. Стекольный,                        ул. Зеленая, д. 18</t>
  </si>
  <si>
    <t xml:space="preserve">Территориальный отдел                      п. Стекольный Администрации 
Хасынского муниципального округа Магаданской области,
п. Стекольный, ул. Советская, д. 5
</t>
  </si>
  <si>
    <t xml:space="preserve">Муниципальное бюджетное учреждение дополнительного образования «Хасынский Центр детского творчества», п. Палатка, ул. Школьная, д. 7 </t>
  </si>
  <si>
    <t xml:space="preserve">Муниципальное бюджетное учреждение культуры «Дом культуры 
Хасынского муниципального округа Магаданской области»,
п. Палатка, ул. Ленина, д. 80
</t>
  </si>
  <si>
    <t xml:space="preserve">Муниципальное бюджетное учреждение культуры «Дом культуры пос. Стекольный»,
 п. Стекольный, ул. Советская, д. 7
</t>
  </si>
  <si>
    <t>Пункт выдачи в п. Хасын</t>
  </si>
  <si>
    <t>В том числе:</t>
  </si>
  <si>
    <t xml:space="preserve">Муниципальное бюджетное учреждение дополнительного образования 
«Хасынская спортивная школа»,
п. Палатка, ул. Почтовая, д. 1
</t>
  </si>
  <si>
    <t xml:space="preserve">Муниципальное казенное учреждение Физкультурно-оздоровительный комплекс с плавательным бассейном «Арбат»,
п. Палатка, ул. Почтовая, д. 4
</t>
  </si>
  <si>
    <t xml:space="preserve">Муниципальное казенное учреждение «Физкультурно-оздоровительный комплекс «Олимп»,
п. Палатка, ул. Почтовая, д. 7
</t>
  </si>
  <si>
    <t xml:space="preserve">Муниципальное автономное учреждение «Редакция газеты «Заря Севера» Хасынского муниципального округа»,
п. Палатка, ул. Центральная, д. 30
</t>
  </si>
  <si>
    <t>Муниципальное бюджетное общеобразовательное учреждение «Средняя общеобразовательная школа № 1»,                                              п. Палатка, ул. Ленина, д. 44</t>
  </si>
  <si>
    <t xml:space="preserve">Муниципальное бюджетное учреждение культуры «Хасынская централизованная библиотечная система»,
п. Палатка, ул. Юбилейная, д. 10
</t>
  </si>
  <si>
    <t>Центральная библиотека,                  п. Палатка</t>
  </si>
  <si>
    <t>Библиотека-филиал, п. Стекольный</t>
  </si>
  <si>
    <t>Библиотека-филиал, п. Талая</t>
  </si>
  <si>
    <t>Объект МБУ «Хасынская спортивная школа», п. Хасын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</si>
</sst>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115">
    <xf numFmtId="0" fontId="0" fillId="0" borderId="0" xfId="0"/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/>
    <xf numFmtId="0" fontId="2" fillId="3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5" fontId="4" fillId="5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4" fillId="5" borderId="3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5" borderId="21" xfId="0" applyNumberFormat="1" applyFont="1" applyFill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/>
    </xf>
    <xf numFmtId="165" fontId="4" fillId="3" borderId="30" xfId="0" applyNumberFormat="1" applyFont="1" applyFill="1" applyBorder="1" applyAlignment="1">
      <alignment horizontal="center" vertical="center"/>
    </xf>
    <xf numFmtId="165" fontId="2" fillId="3" borderId="28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4" fillId="5" borderId="20" xfId="0" applyNumberFormat="1" applyFont="1" applyFill="1" applyBorder="1" applyAlignment="1">
      <alignment horizontal="center" vertical="center"/>
    </xf>
    <xf numFmtId="165" fontId="4" fillId="5" borderId="31" xfId="0" applyNumberFormat="1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8" fillId="5" borderId="20" xfId="0" applyNumberFormat="1" applyFont="1" applyFill="1" applyBorder="1" applyAlignment="1">
      <alignment horizontal="center" vertical="center"/>
    </xf>
    <xf numFmtId="165" fontId="7" fillId="4" borderId="24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165" fontId="8" fillId="5" borderId="32" xfId="0" applyNumberFormat="1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4" fillId="5" borderId="13" xfId="0" applyNumberFormat="1" applyFont="1" applyFill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164" fontId="12" fillId="3" borderId="0" xfId="0" applyNumberFormat="1" applyFont="1" applyFill="1"/>
    <xf numFmtId="164" fontId="13" fillId="3" borderId="0" xfId="0" applyNumberFormat="1" applyFont="1" applyFill="1"/>
    <xf numFmtId="164" fontId="14" fillId="7" borderId="0" xfId="0" applyNumberFormat="1" applyFont="1" applyFill="1" applyAlignment="1"/>
    <xf numFmtId="0" fontId="13" fillId="3" borderId="0" xfId="0" applyFont="1" applyFill="1" applyAlignment="1"/>
    <xf numFmtId="164" fontId="14" fillId="7" borderId="0" xfId="0" applyNumberFormat="1" applyFont="1" applyFill="1" applyAlignment="1">
      <alignment horizontal="center"/>
    </xf>
    <xf numFmtId="164" fontId="15" fillId="7" borderId="0" xfId="0" applyNumberFormat="1" applyFont="1" applyFill="1" applyAlignment="1">
      <alignment horizontal="center"/>
    </xf>
    <xf numFmtId="164" fontId="11" fillId="3" borderId="4" xfId="0" applyNumberFormat="1" applyFont="1" applyFill="1" applyBorder="1" applyAlignment="1">
      <alignment horizontal="center" vertical="center" wrapText="1"/>
    </xf>
    <xf numFmtId="164" fontId="11" fillId="3" borderId="5" xfId="0" applyNumberFormat="1" applyFont="1" applyFill="1" applyBorder="1" applyAlignment="1">
      <alignment horizontal="center" vertical="center" wrapText="1"/>
    </xf>
    <xf numFmtId="164" fontId="16" fillId="3" borderId="0" xfId="0" applyNumberFormat="1" applyFont="1" applyFill="1"/>
    <xf numFmtId="1" fontId="11" fillId="3" borderId="6" xfId="0" applyNumberFormat="1" applyFont="1" applyFill="1" applyBorder="1" applyAlignment="1">
      <alignment horizontal="center" vertical="center" wrapText="1"/>
    </xf>
    <xf numFmtId="1" fontId="11" fillId="3" borderId="7" xfId="0" applyNumberFormat="1" applyFont="1" applyFill="1" applyBorder="1" applyAlignment="1">
      <alignment horizontal="center" vertical="center" wrapText="1"/>
    </xf>
    <xf numFmtId="164" fontId="13" fillId="3" borderId="0" xfId="1" applyNumberFormat="1" applyFont="1" applyFill="1"/>
    <xf numFmtId="164" fontId="17" fillId="3" borderId="0" xfId="0" applyNumberFormat="1" applyFont="1" applyFill="1"/>
    <xf numFmtId="164" fontId="10" fillId="3" borderId="0" xfId="0" applyNumberFormat="1" applyFont="1" applyFill="1"/>
    <xf numFmtId="164" fontId="11" fillId="3" borderId="0" xfId="0" applyNumberFormat="1" applyFont="1" applyFill="1" applyAlignment="1">
      <alignment horizontal="center" vertical="center" wrapText="1"/>
    </xf>
    <xf numFmtId="165" fontId="18" fillId="3" borderId="11" xfId="0" applyNumberFormat="1" applyFont="1" applyFill="1" applyBorder="1" applyAlignment="1">
      <alignment horizontal="center" vertical="center" wrapText="1"/>
    </xf>
    <xf numFmtId="165" fontId="14" fillId="3" borderId="5" xfId="0" applyNumberFormat="1" applyFont="1" applyFill="1" applyBorder="1" applyAlignment="1">
      <alignment horizontal="center" vertical="center" wrapText="1"/>
    </xf>
    <xf numFmtId="165" fontId="14" fillId="3" borderId="6" xfId="0" applyNumberFormat="1" applyFont="1" applyFill="1" applyBorder="1" applyAlignment="1">
      <alignment horizontal="center" vertical="center" wrapText="1"/>
    </xf>
    <xf numFmtId="165" fontId="18" fillId="3" borderId="6" xfId="0" applyNumberFormat="1" applyFont="1" applyFill="1" applyBorder="1" applyAlignment="1">
      <alignment horizontal="center" vertical="center" wrapText="1"/>
    </xf>
    <xf numFmtId="165" fontId="14" fillId="3" borderId="11" xfId="0" applyNumberFormat="1" applyFont="1" applyFill="1" applyBorder="1" applyAlignment="1">
      <alignment horizontal="center" vertical="center" wrapText="1"/>
    </xf>
    <xf numFmtId="165" fontId="14" fillId="3" borderId="7" xfId="0" applyNumberFormat="1" applyFont="1" applyFill="1" applyBorder="1" applyAlignment="1">
      <alignment horizontal="center" vertical="center" wrapText="1"/>
    </xf>
    <xf numFmtId="165" fontId="14" fillId="3" borderId="4" xfId="0" applyNumberFormat="1" applyFont="1" applyFill="1" applyBorder="1" applyAlignment="1">
      <alignment horizontal="center" vertical="center" wrapText="1"/>
    </xf>
    <xf numFmtId="165" fontId="18" fillId="3" borderId="11" xfId="1" applyNumberFormat="1" applyFont="1" applyFill="1" applyBorder="1" applyAlignment="1">
      <alignment horizontal="center" vertical="center" wrapText="1"/>
    </xf>
    <xf numFmtId="165" fontId="18" fillId="3" borderId="11" xfId="0" applyNumberFormat="1" applyFont="1" applyFill="1" applyBorder="1" applyAlignment="1">
      <alignment horizontal="left" vertical="center" wrapText="1"/>
    </xf>
    <xf numFmtId="164" fontId="11" fillId="3" borderId="14" xfId="0" applyNumberFormat="1" applyFont="1" applyFill="1" applyBorder="1" applyAlignment="1">
      <alignment horizontal="center" vertical="center" wrapText="1"/>
    </xf>
    <xf numFmtId="164" fontId="10" fillId="3" borderId="18" xfId="0" applyNumberFormat="1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164" fontId="11" fillId="3" borderId="11" xfId="0" applyNumberFormat="1" applyFont="1" applyFill="1" applyBorder="1" applyAlignment="1">
      <alignment horizontal="center" vertical="center" wrapText="1"/>
    </xf>
    <xf numFmtId="164" fontId="11" fillId="3" borderId="7" xfId="0" applyNumberFormat="1" applyFont="1" applyFill="1" applyBorder="1" applyAlignment="1">
      <alignment horizontal="center" vertical="center" wrapText="1"/>
    </xf>
    <xf numFmtId="164" fontId="11" fillId="3" borderId="12" xfId="0" applyNumberFormat="1" applyFont="1" applyFill="1" applyBorder="1" applyAlignment="1">
      <alignment horizontal="center" vertical="center" wrapText="1"/>
    </xf>
    <xf numFmtId="165" fontId="14" fillId="3" borderId="7" xfId="0" applyNumberFormat="1" applyFont="1" applyFill="1" applyBorder="1" applyAlignment="1">
      <alignment horizontal="left" vertical="center" wrapText="1"/>
    </xf>
    <xf numFmtId="165" fontId="14" fillId="3" borderId="15" xfId="0" applyNumberFormat="1" applyFont="1" applyFill="1" applyBorder="1" applyAlignment="1">
      <alignment horizontal="left" vertical="center" wrapText="1"/>
    </xf>
    <xf numFmtId="165" fontId="14" fillId="3" borderId="5" xfId="0" applyNumberFormat="1" applyFont="1" applyFill="1" applyBorder="1" applyAlignment="1">
      <alignment horizontal="left" vertical="center" wrapText="1"/>
    </xf>
    <xf numFmtId="165" fontId="11" fillId="3" borderId="7" xfId="0" applyNumberFormat="1" applyFont="1" applyFill="1" applyBorder="1" applyAlignment="1">
      <alignment horizontal="center" vertical="center" wrapText="1"/>
    </xf>
    <xf numFmtId="165" fontId="14" fillId="3" borderId="15" xfId="0" applyNumberFormat="1" applyFont="1" applyFill="1" applyBorder="1" applyAlignment="1">
      <alignment horizontal="center" vertical="center" wrapText="1"/>
    </xf>
    <xf numFmtId="165" fontId="14" fillId="3" borderId="12" xfId="0" applyNumberFormat="1" applyFont="1" applyFill="1" applyBorder="1" applyAlignment="1">
      <alignment horizontal="center" vertical="center" wrapText="1"/>
    </xf>
    <xf numFmtId="165" fontId="14" fillId="3" borderId="12" xfId="0" applyNumberFormat="1" applyFont="1" applyFill="1" applyBorder="1" applyAlignment="1">
      <alignment horizontal="left" vertical="center" wrapText="1"/>
    </xf>
    <xf numFmtId="165" fontId="11" fillId="3" borderId="15" xfId="0" applyNumberFormat="1" applyFont="1" applyFill="1" applyBorder="1" applyAlignment="1">
      <alignment horizontal="center" vertical="center" wrapText="1"/>
    </xf>
    <xf numFmtId="165" fontId="10" fillId="3" borderId="12" xfId="0" applyNumberFormat="1" applyFont="1" applyFill="1" applyBorder="1" applyAlignment="1">
      <alignment horizontal="center" vertical="center" wrapText="1"/>
    </xf>
    <xf numFmtId="164" fontId="14" fillId="7" borderId="0" xfId="0" applyNumberFormat="1" applyFont="1" applyFill="1" applyAlignment="1">
      <alignment horizontal="center"/>
    </xf>
    <xf numFmtId="165" fontId="11" fillId="3" borderId="12" xfId="0" applyNumberFormat="1" applyFont="1" applyFill="1" applyBorder="1" applyAlignment="1">
      <alignment horizontal="center" vertical="center" wrapText="1"/>
    </xf>
    <xf numFmtId="165" fontId="18" fillId="3" borderId="7" xfId="0" applyNumberFormat="1" applyFont="1" applyFill="1" applyBorder="1" applyAlignment="1">
      <alignment horizontal="left" vertical="center" wrapText="1"/>
    </xf>
    <xf numFmtId="165" fontId="19" fillId="3" borderId="15" xfId="0" applyNumberFormat="1" applyFont="1" applyFill="1" applyBorder="1" applyAlignment="1">
      <alignment horizontal="left" vertical="center" wrapText="1"/>
    </xf>
    <xf numFmtId="165" fontId="19" fillId="3" borderId="12" xfId="0" applyNumberFormat="1" applyFont="1" applyFill="1" applyBorder="1" applyAlignment="1">
      <alignment horizontal="left" vertical="center" wrapText="1"/>
    </xf>
    <xf numFmtId="164" fontId="11" fillId="3" borderId="18" xfId="0" applyNumberFormat="1" applyFont="1" applyFill="1" applyBorder="1" applyAlignment="1">
      <alignment horizontal="center" vertical="center" wrapText="1"/>
    </xf>
    <xf numFmtId="164" fontId="11" fillId="3" borderId="15" xfId="0" applyNumberFormat="1" applyFont="1" applyFill="1" applyBorder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4" fontId="14" fillId="3" borderId="0" xfId="0" applyNumberFormat="1" applyFont="1" applyFill="1" applyAlignment="1">
      <alignment horizontal="center" vertical="center"/>
    </xf>
    <xf numFmtId="164" fontId="11" fillId="3" borderId="16" xfId="0" applyNumberFormat="1" applyFont="1" applyFill="1" applyBorder="1" applyAlignment="1">
      <alignment horizontal="center" vertical="center" wrapText="1"/>
    </xf>
    <xf numFmtId="164" fontId="11" fillId="3" borderId="17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165" fontId="18" fillId="3" borderId="15" xfId="0" applyNumberFormat="1" applyFont="1" applyFill="1" applyBorder="1" applyAlignment="1">
      <alignment horizontal="left" vertical="center" wrapText="1"/>
    </xf>
    <xf numFmtId="165" fontId="18" fillId="3" borderId="12" xfId="0" applyNumberFormat="1" applyFont="1" applyFill="1" applyBorder="1" applyAlignment="1">
      <alignment horizontal="left" vertical="center" wrapText="1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4"/>
  <sheetViews>
    <sheetView tabSelected="1" topLeftCell="A136" zoomScale="96" zoomScaleNormal="96" workbookViewId="0">
      <selection activeCell="S117" sqref="S117"/>
    </sheetView>
  </sheetViews>
  <sheetFormatPr defaultRowHeight="18.75" x14ac:dyDescent="0.3"/>
  <cols>
    <col min="1" max="1" width="35.42578125" style="49" customWidth="1"/>
    <col min="2" max="2" width="10.42578125" style="50" customWidth="1"/>
    <col min="3" max="3" width="10.7109375" style="50" customWidth="1"/>
    <col min="4" max="4" width="12" style="50" customWidth="1"/>
    <col min="5" max="5" width="13" style="50" customWidth="1"/>
    <col min="6" max="6" width="11.5703125" style="50" customWidth="1"/>
    <col min="7" max="7" width="11.7109375" style="50" customWidth="1"/>
    <col min="8" max="8" width="11.5703125" style="50" customWidth="1"/>
    <col min="9" max="9" width="10.42578125" style="50" customWidth="1"/>
    <col min="10" max="10" width="12.140625" style="50" customWidth="1"/>
    <col min="11" max="11" width="10.85546875" style="50" customWidth="1"/>
    <col min="12" max="12" width="9" style="50" customWidth="1"/>
    <col min="13" max="13" width="11.7109375" style="50" customWidth="1"/>
    <col min="14" max="14" width="18.28515625" style="50" customWidth="1"/>
    <col min="15" max="15" width="9.7109375" style="50" customWidth="1"/>
    <col min="16" max="16" width="12.42578125" style="50" customWidth="1"/>
    <col min="17" max="17" width="9.140625" style="50"/>
    <col min="18" max="18" width="14" style="50" customWidth="1"/>
    <col min="19" max="19" width="25.7109375" style="50" customWidth="1"/>
    <col min="20" max="16384" width="9.140625" style="50"/>
  </cols>
  <sheetData>
    <row r="1" spans="1:16" x14ac:dyDescent="0.3">
      <c r="K1" s="53"/>
      <c r="L1" s="53"/>
      <c r="M1" s="51" t="s">
        <v>74</v>
      </c>
      <c r="N1" s="52"/>
    </row>
    <row r="2" spans="1:16" x14ac:dyDescent="0.3">
      <c r="K2" s="88" t="s">
        <v>58</v>
      </c>
      <c r="L2" s="88"/>
      <c r="M2" s="88"/>
      <c r="N2" s="88"/>
    </row>
    <row r="3" spans="1:16" x14ac:dyDescent="0.3">
      <c r="K3" s="88" t="s">
        <v>59</v>
      </c>
      <c r="L3" s="88"/>
      <c r="M3" s="88"/>
      <c r="N3" s="88"/>
    </row>
    <row r="4" spans="1:16" x14ac:dyDescent="0.3">
      <c r="K4" s="88" t="s">
        <v>60</v>
      </c>
      <c r="L4" s="88"/>
      <c r="M4" s="88"/>
      <c r="N4" s="88"/>
    </row>
    <row r="5" spans="1:16" x14ac:dyDescent="0.3">
      <c r="K5" s="88" t="s">
        <v>61</v>
      </c>
      <c r="L5" s="88"/>
      <c r="M5" s="88"/>
      <c r="N5" s="88"/>
    </row>
    <row r="6" spans="1:16" x14ac:dyDescent="0.3">
      <c r="L6" s="54"/>
      <c r="M6" s="54"/>
      <c r="N6" s="54"/>
    </row>
    <row r="7" spans="1:16" ht="15.75" customHeight="1" x14ac:dyDescent="0.3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</row>
    <row r="8" spans="1:16" ht="15.75" customHeight="1" x14ac:dyDescent="0.3">
      <c r="A8" s="95" t="s">
        <v>55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</row>
    <row r="9" spans="1:16" ht="15" customHeight="1" thickBot="1" x14ac:dyDescent="0.35">
      <c r="H9" s="96"/>
      <c r="I9" s="96"/>
      <c r="J9" s="96"/>
      <c r="K9" s="96"/>
      <c r="L9" s="96"/>
      <c r="M9" s="96"/>
      <c r="N9" s="96"/>
    </row>
    <row r="10" spans="1:16" ht="15" customHeight="1" thickBot="1" x14ac:dyDescent="0.35">
      <c r="A10" s="73" t="s">
        <v>0</v>
      </c>
      <c r="B10" s="77" t="s">
        <v>1</v>
      </c>
      <c r="C10" s="94"/>
      <c r="D10" s="77" t="s">
        <v>2</v>
      </c>
      <c r="E10" s="78"/>
      <c r="F10" s="77" t="s">
        <v>3</v>
      </c>
      <c r="G10" s="78"/>
      <c r="H10" s="77" t="s">
        <v>4</v>
      </c>
      <c r="I10" s="78"/>
      <c r="J10" s="77" t="s">
        <v>5</v>
      </c>
      <c r="K10" s="78"/>
      <c r="L10" s="77" t="s">
        <v>51</v>
      </c>
      <c r="M10" s="78"/>
      <c r="N10" s="73" t="s">
        <v>62</v>
      </c>
    </row>
    <row r="11" spans="1:16" ht="15" customHeight="1" x14ac:dyDescent="0.3">
      <c r="A11" s="93"/>
      <c r="B11" s="55" t="s">
        <v>7</v>
      </c>
      <c r="C11" s="97" t="s">
        <v>65</v>
      </c>
      <c r="D11" s="73" t="s">
        <v>6</v>
      </c>
      <c r="E11" s="55" t="s">
        <v>7</v>
      </c>
      <c r="F11" s="73" t="s">
        <v>6</v>
      </c>
      <c r="G11" s="55" t="s">
        <v>7</v>
      </c>
      <c r="H11" s="73" t="s">
        <v>9</v>
      </c>
      <c r="I11" s="55" t="s">
        <v>7</v>
      </c>
      <c r="J11" s="73" t="s">
        <v>9</v>
      </c>
      <c r="K11" s="55" t="s">
        <v>7</v>
      </c>
      <c r="L11" s="73" t="s">
        <v>9</v>
      </c>
      <c r="M11" s="73" t="s">
        <v>63</v>
      </c>
      <c r="N11" s="74"/>
    </row>
    <row r="12" spans="1:16" ht="28.5" customHeight="1" thickBot="1" x14ac:dyDescent="0.35">
      <c r="A12" s="76"/>
      <c r="B12" s="56" t="s">
        <v>14</v>
      </c>
      <c r="C12" s="98"/>
      <c r="D12" s="76"/>
      <c r="E12" s="56" t="s">
        <v>8</v>
      </c>
      <c r="F12" s="76"/>
      <c r="G12" s="56" t="s">
        <v>64</v>
      </c>
      <c r="H12" s="76"/>
      <c r="I12" s="56" t="s">
        <v>64</v>
      </c>
      <c r="J12" s="76"/>
      <c r="K12" s="56" t="s">
        <v>64</v>
      </c>
      <c r="L12" s="76"/>
      <c r="M12" s="76"/>
      <c r="N12" s="75"/>
    </row>
    <row r="13" spans="1:16" ht="15" customHeight="1" thickBot="1" x14ac:dyDescent="0.35">
      <c r="A13" s="57"/>
      <c r="B13" s="58">
        <v>2</v>
      </c>
      <c r="C13" s="59">
        <v>3</v>
      </c>
      <c r="D13" s="58">
        <v>4</v>
      </c>
      <c r="E13" s="58">
        <v>5</v>
      </c>
      <c r="F13" s="58">
        <v>6</v>
      </c>
      <c r="G13" s="58">
        <v>7</v>
      </c>
      <c r="H13" s="58">
        <v>8</v>
      </c>
      <c r="I13" s="58">
        <v>9</v>
      </c>
      <c r="J13" s="58">
        <v>10</v>
      </c>
      <c r="K13" s="58">
        <v>11</v>
      </c>
      <c r="L13" s="58">
        <v>12</v>
      </c>
      <c r="M13" s="58">
        <v>13</v>
      </c>
      <c r="N13" s="58">
        <v>14</v>
      </c>
    </row>
    <row r="14" spans="1:16" ht="28.5" customHeight="1" thickBot="1" x14ac:dyDescent="0.35">
      <c r="A14" s="77" t="s">
        <v>73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78"/>
    </row>
    <row r="15" spans="1:16" ht="132.94999999999999" customHeight="1" thickBot="1" x14ac:dyDescent="0.35">
      <c r="A15" s="64" t="s">
        <v>75</v>
      </c>
      <c r="B15" s="65">
        <f>SUM(B16:B17)</f>
        <v>0</v>
      </c>
      <c r="C15" s="66">
        <f>SUM(C16:C17)</f>
        <v>0</v>
      </c>
      <c r="D15" s="65">
        <f t="shared" ref="D15:J15" si="0">SUM(D16:D17)</f>
        <v>25.7</v>
      </c>
      <c r="E15" s="65">
        <f>SUM(E16:E17)+0.1</f>
        <v>264.23716000000002</v>
      </c>
      <c r="F15" s="65">
        <f t="shared" si="0"/>
        <v>0</v>
      </c>
      <c r="G15" s="65">
        <f t="shared" si="0"/>
        <v>0</v>
      </c>
      <c r="H15" s="65">
        <f t="shared" si="0"/>
        <v>35.6</v>
      </c>
      <c r="I15" s="65">
        <f>SUM(I16:I17)</f>
        <v>2.5183440000000004</v>
      </c>
      <c r="J15" s="65">
        <f t="shared" si="0"/>
        <v>35.6</v>
      </c>
      <c r="K15" s="65">
        <f>SUM(K16:K17)+0.1</f>
        <v>4.6411360000000004</v>
      </c>
      <c r="L15" s="65">
        <f>SUM(L16:L17)</f>
        <v>27</v>
      </c>
      <c r="M15" s="65">
        <f>SUM(M16:M17)-0.1</f>
        <v>14.866100000000001</v>
      </c>
      <c r="N15" s="65">
        <f>SUM(C15,E15,G15,I15,K15)+M15-0.1</f>
        <v>286.16274000000004</v>
      </c>
      <c r="O15" s="48"/>
      <c r="P15" s="48"/>
    </row>
    <row r="16" spans="1:16" ht="28.5" customHeight="1" thickBot="1" x14ac:dyDescent="0.35">
      <c r="A16" s="64" t="s">
        <v>16</v>
      </c>
      <c r="B16" s="65">
        <v>0</v>
      </c>
      <c r="C16" s="66">
        <f>B16*8.14</f>
        <v>0</v>
      </c>
      <c r="D16" s="65">
        <v>15</v>
      </c>
      <c r="E16" s="65">
        <f>D16*ТАРИФЫ!F5/1000</f>
        <v>149.3604</v>
      </c>
      <c r="F16" s="65">
        <v>0</v>
      </c>
      <c r="G16" s="65">
        <v>0</v>
      </c>
      <c r="H16" s="65">
        <v>17.8</v>
      </c>
      <c r="I16" s="65">
        <f>H16*ТАРИФЫ!F10/1000</f>
        <v>0.93343200000000015</v>
      </c>
      <c r="J16" s="65">
        <v>17.8</v>
      </c>
      <c r="K16" s="65">
        <f>J16*ТАРИФЫ!F15/1000</f>
        <v>1.8519120000000002</v>
      </c>
      <c r="L16" s="65">
        <v>13.5</v>
      </c>
      <c r="M16" s="65">
        <f>L16*ТАРИФЫ!D26/1000</f>
        <v>7.24275</v>
      </c>
      <c r="N16" s="65">
        <f>SUM(C16,E16,G16,I16,K16)+M16</f>
        <v>159.38849400000001</v>
      </c>
      <c r="O16" s="48"/>
      <c r="P16" s="48"/>
    </row>
    <row r="17" spans="1:16" ht="28.5" customHeight="1" thickBot="1" x14ac:dyDescent="0.35">
      <c r="A17" s="64" t="s">
        <v>33</v>
      </c>
      <c r="B17" s="65">
        <v>0</v>
      </c>
      <c r="C17" s="66">
        <f>B17*8.14</f>
        <v>0</v>
      </c>
      <c r="D17" s="65">
        <v>10.7</v>
      </c>
      <c r="E17" s="65">
        <f>D17*ТАРИФЫ!G5/1000</f>
        <v>114.77675999999998</v>
      </c>
      <c r="F17" s="65">
        <v>0</v>
      </c>
      <c r="G17" s="65">
        <v>0</v>
      </c>
      <c r="H17" s="65">
        <v>17.8</v>
      </c>
      <c r="I17" s="65">
        <f>H17*ТАРИФЫ!G10/1000</f>
        <v>1.5849120000000003</v>
      </c>
      <c r="J17" s="65">
        <v>17.8</v>
      </c>
      <c r="K17" s="65">
        <f>J17*ТАРИФЫ!G15/1000</f>
        <v>2.6892240000000003</v>
      </c>
      <c r="L17" s="65">
        <v>13.5</v>
      </c>
      <c r="M17" s="65">
        <f>L17*ТАРИФЫ!E26/1000</f>
        <v>7.7233499999999999</v>
      </c>
      <c r="N17" s="65">
        <f>SUM(C17,E17,G17,I17,K17)+M17</f>
        <v>126.77424599999998</v>
      </c>
      <c r="O17" s="48"/>
      <c r="P17" s="48"/>
    </row>
    <row r="18" spans="1:16" ht="137.25" customHeight="1" thickBot="1" x14ac:dyDescent="0.35">
      <c r="A18" s="64" t="s">
        <v>76</v>
      </c>
      <c r="B18" s="65">
        <f>B19+B20</f>
        <v>237.7</v>
      </c>
      <c r="C18" s="65">
        <f t="shared" ref="C18:L18" si="1">C19+C20</f>
        <v>2199.5479999999998</v>
      </c>
      <c r="D18" s="65">
        <f t="shared" si="1"/>
        <v>998.19999999999993</v>
      </c>
      <c r="E18" s="65">
        <f>E19+E20</f>
        <v>11504.287091999999</v>
      </c>
      <c r="F18" s="65">
        <f t="shared" si="1"/>
        <v>28.200000000000003</v>
      </c>
      <c r="G18" s="65">
        <f>G19+G20</f>
        <v>290.82332799999995</v>
      </c>
      <c r="H18" s="65">
        <f t="shared" si="1"/>
        <v>2277.6999999999998</v>
      </c>
      <c r="I18" s="65">
        <f>I19+I20+0.1</f>
        <v>159.23343600000001</v>
      </c>
      <c r="J18" s="65">
        <f t="shared" si="1"/>
        <v>2277.6999999999998</v>
      </c>
      <c r="K18" s="65">
        <f t="shared" si="1"/>
        <v>292.30854784400003</v>
      </c>
      <c r="L18" s="65">
        <f t="shared" si="1"/>
        <v>207.40000000000003</v>
      </c>
      <c r="M18" s="65">
        <f>M19+M20</f>
        <v>115.14423000000002</v>
      </c>
      <c r="N18" s="65">
        <f>N19+N20+0.1</f>
        <v>14561.244633843999</v>
      </c>
      <c r="O18" s="48"/>
      <c r="P18" s="48"/>
    </row>
    <row r="19" spans="1:16" ht="28.5" customHeight="1" thickBot="1" x14ac:dyDescent="0.35">
      <c r="A19" s="64" t="s">
        <v>16</v>
      </c>
      <c r="B19" s="65">
        <f>B23+B26+B29+B32+B35+B38+B41+B44+B47</f>
        <v>134.10000000000002</v>
      </c>
      <c r="C19" s="65">
        <f>C23+C26+C29+C32+C35+C38+C41+C44+C47</f>
        <v>1093.0999999999999</v>
      </c>
      <c r="D19" s="65">
        <f t="shared" ref="D19:L19" si="2">D23+D26+D29+D32+D35+D38+D41+D44+D47</f>
        <v>588.09999999999991</v>
      </c>
      <c r="E19" s="65">
        <f>E23+E26+E29+E32+E35+E38+E41+E44+E47+0.1</f>
        <v>6478.9267</v>
      </c>
      <c r="F19" s="65">
        <f t="shared" si="2"/>
        <v>15.3</v>
      </c>
      <c r="G19" s="65">
        <f>G23+G26+G29+G32+G35+G38+G41+G44+G47+0.1</f>
        <v>152.44760799999997</v>
      </c>
      <c r="H19" s="65">
        <f t="shared" si="2"/>
        <v>1070.6000000000001</v>
      </c>
      <c r="I19" s="65">
        <f>I23+I26+I29+I32+I35+I38+I41+I44+I47</f>
        <v>57.666936000000007</v>
      </c>
      <c r="J19" s="65">
        <f t="shared" si="2"/>
        <v>1070.6000000000001</v>
      </c>
      <c r="K19" s="65">
        <f>K23+K26+K29+K32+K35+K38+K41+K44+K47</f>
        <v>111.315612</v>
      </c>
      <c r="L19" s="65">
        <f t="shared" si="2"/>
        <v>103.70000000000002</v>
      </c>
      <c r="M19" s="65">
        <f>M23+M26+M29+M32+M35+M38+M41+M44+M47</f>
        <v>55.817460000000004</v>
      </c>
      <c r="N19" s="65">
        <f>N23+N26+N29+N32+N35+N38+N41+N44+N47-0.1</f>
        <v>7949.1743159999987</v>
      </c>
      <c r="O19" s="48"/>
      <c r="P19" s="48"/>
    </row>
    <row r="20" spans="1:16" ht="28.5" customHeight="1" thickBot="1" x14ac:dyDescent="0.35">
      <c r="A20" s="64" t="s">
        <v>33</v>
      </c>
      <c r="B20" s="65">
        <f>B24+B27+B30+B33+B36+B39+B42+B45+B48</f>
        <v>103.59999999999998</v>
      </c>
      <c r="C20" s="65">
        <f>C24+C27+C30+C33+C36+C39+C42+C45+C48</f>
        <v>1106.4479999999999</v>
      </c>
      <c r="D20" s="65">
        <f t="shared" ref="D20:L20" si="3">D24+D27+D30+D33+D36+D39+D42+D45+D48</f>
        <v>410.1</v>
      </c>
      <c r="E20" s="65">
        <f>E24+E27+E30+E33+E36+E39+E42+E45+E48-0.1</f>
        <v>5025.3603919999987</v>
      </c>
      <c r="F20" s="65">
        <f t="shared" si="3"/>
        <v>12.9</v>
      </c>
      <c r="G20" s="65">
        <f>G24+G27+G30+G33+G36+G39+G42+G45+G48</f>
        <v>138.37572</v>
      </c>
      <c r="H20" s="65">
        <f t="shared" si="3"/>
        <v>1207.0999999999999</v>
      </c>
      <c r="I20" s="65">
        <f>I24+I27+I30+I33+I36+I39+I42+I45+I48-0.1</f>
        <v>101.46650000000001</v>
      </c>
      <c r="J20" s="65">
        <f t="shared" si="3"/>
        <v>1207.0999999999999</v>
      </c>
      <c r="K20" s="65">
        <f>K24+K27+K30+K33+K36+K39+K42+K45+K48-0.1</f>
        <v>180.99293584400002</v>
      </c>
      <c r="L20" s="65">
        <f t="shared" si="3"/>
        <v>103.70000000000002</v>
      </c>
      <c r="M20" s="65">
        <f>M24+M27+M30+M33+M36+M39+M42+M45+M48</f>
        <v>59.32677000000001</v>
      </c>
      <c r="N20" s="65">
        <f>N24+N27+N30+N33+N36+N39+N42+N45+N48+0.1</f>
        <v>6611.9703178439995</v>
      </c>
      <c r="O20" s="48"/>
      <c r="P20" s="48"/>
    </row>
    <row r="21" spans="1:16" ht="18" customHeight="1" thickBot="1" x14ac:dyDescent="0.35">
      <c r="A21" s="90" t="s">
        <v>10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2"/>
      <c r="O21" s="48"/>
      <c r="P21" s="48"/>
    </row>
    <row r="22" spans="1:16" ht="87" customHeight="1" thickBot="1" x14ac:dyDescent="0.35">
      <c r="A22" s="64" t="s">
        <v>78</v>
      </c>
      <c r="B22" s="65">
        <f>B23+B24</f>
        <v>88</v>
      </c>
      <c r="C22" s="65">
        <f t="shared" ref="C22:L22" si="4">C23+C24</f>
        <v>854.12400000000002</v>
      </c>
      <c r="D22" s="65">
        <f t="shared" si="4"/>
        <v>310</v>
      </c>
      <c r="E22" s="65">
        <f>E23+E24+0.1</f>
        <v>3186.1393599999997</v>
      </c>
      <c r="F22" s="65">
        <f t="shared" si="4"/>
        <v>3.4</v>
      </c>
      <c r="G22" s="65">
        <f t="shared" si="4"/>
        <v>34.624463999999996</v>
      </c>
      <c r="H22" s="65">
        <f t="shared" si="4"/>
        <v>431.70000000000005</v>
      </c>
      <c r="I22" s="65">
        <f t="shared" si="4"/>
        <v>22.638348000000004</v>
      </c>
      <c r="J22" s="65">
        <f t="shared" si="4"/>
        <v>431.70000000000005</v>
      </c>
      <c r="K22" s="65">
        <f>K23+K24</f>
        <v>54.105684000000004</v>
      </c>
      <c r="L22" s="65">
        <f t="shared" si="4"/>
        <v>74.400000000000006</v>
      </c>
      <c r="M22" s="65">
        <f>M23+M24+0.1</f>
        <v>41.339920000000006</v>
      </c>
      <c r="N22" s="65">
        <f>SUM(C22,E22,G22,I22,K22)+M22-0.2</f>
        <v>4192.7717760000005</v>
      </c>
      <c r="O22" s="48"/>
      <c r="P22" s="48"/>
    </row>
    <row r="23" spans="1:16" ht="20.100000000000001" customHeight="1" thickBot="1" x14ac:dyDescent="0.35">
      <c r="A23" s="64" t="s">
        <v>16</v>
      </c>
      <c r="B23" s="65">
        <v>43.7</v>
      </c>
      <c r="C23" s="66">
        <v>381</v>
      </c>
      <c r="D23" s="65">
        <v>181</v>
      </c>
      <c r="E23" s="65">
        <f>D23*ТАРИФЫ!F5/1000</f>
        <v>1802.2821599999997</v>
      </c>
      <c r="F23" s="65">
        <v>2.4</v>
      </c>
      <c r="G23" s="65">
        <f>F23*ТАРИФЫ!F5/1000</f>
        <v>23.897663999999995</v>
      </c>
      <c r="H23" s="65">
        <v>236.3</v>
      </c>
      <c r="I23" s="65">
        <f>H23*ТАРИФЫ!F10/1000</f>
        <v>12.391572000000002</v>
      </c>
      <c r="J23" s="65">
        <f>H23</f>
        <v>236.3</v>
      </c>
      <c r="K23" s="65">
        <f>J23*ТАРИФЫ!F15/1000</f>
        <v>24.584652000000002</v>
      </c>
      <c r="L23" s="65">
        <v>37.200000000000003</v>
      </c>
      <c r="M23" s="65">
        <f>L23*ТАРИФЫ!D26/1000</f>
        <v>19.957800000000002</v>
      </c>
      <c r="N23" s="65">
        <f>SUM(C23,E23,G23,I23,K23)+M23+0.1</f>
        <v>2264.2138479999999</v>
      </c>
      <c r="O23" s="48"/>
      <c r="P23" s="48"/>
    </row>
    <row r="24" spans="1:16" ht="19.5" customHeight="1" thickBot="1" x14ac:dyDescent="0.35">
      <c r="A24" s="64" t="s">
        <v>33</v>
      </c>
      <c r="B24" s="65">
        <v>44.3</v>
      </c>
      <c r="C24" s="66">
        <f>B24*ТАРИФЫ!G21</f>
        <v>473.12399999999997</v>
      </c>
      <c r="D24" s="65">
        <v>129</v>
      </c>
      <c r="E24" s="65">
        <f>D24*ТАРИФЫ!G5/1000</f>
        <v>1383.7572</v>
      </c>
      <c r="F24" s="65">
        <v>1</v>
      </c>
      <c r="G24" s="65">
        <f>F24*ТАРИФЫ!G5/1000</f>
        <v>10.726799999999999</v>
      </c>
      <c r="H24" s="65">
        <v>195.4</v>
      </c>
      <c r="I24" s="65">
        <f>H24*ТАРИФЫ!F10/1000</f>
        <v>10.246776000000002</v>
      </c>
      <c r="J24" s="65">
        <v>195.4</v>
      </c>
      <c r="K24" s="65">
        <f>J24*ТАРИФЫ!G15/1000</f>
        <v>29.521032000000002</v>
      </c>
      <c r="L24" s="65">
        <v>37.200000000000003</v>
      </c>
      <c r="M24" s="65">
        <f>L24*ТАРИФЫ!E26/1000</f>
        <v>21.282120000000003</v>
      </c>
      <c r="N24" s="65">
        <f>SUM(C24,E24,G24,I24,K24)+M24-0.1</f>
        <v>1928.5579280000002</v>
      </c>
      <c r="O24" s="48"/>
      <c r="P24" s="48"/>
    </row>
    <row r="25" spans="1:16" ht="96.75" customHeight="1" thickBot="1" x14ac:dyDescent="0.35">
      <c r="A25" s="64" t="s">
        <v>77</v>
      </c>
      <c r="B25" s="65">
        <f>B26+B27</f>
        <v>1.6</v>
      </c>
      <c r="C25" s="65">
        <f>C26+C27</f>
        <v>15.844000000000001</v>
      </c>
      <c r="D25" s="65">
        <f t="shared" ref="D25:L25" si="5">D26+D27</f>
        <v>65.900000000000006</v>
      </c>
      <c r="E25" s="65">
        <f t="shared" si="5"/>
        <v>677.27267999999992</v>
      </c>
      <c r="F25" s="65">
        <f t="shared" si="5"/>
        <v>1.8</v>
      </c>
      <c r="G25" s="65">
        <f>G26+G27+0.1</f>
        <v>18.715744000000001</v>
      </c>
      <c r="H25" s="65">
        <f t="shared" si="5"/>
        <v>61.2</v>
      </c>
      <c r="I25" s="65">
        <f t="shared" si="5"/>
        <v>4.3292880000000009</v>
      </c>
      <c r="J25" s="65">
        <f t="shared" si="5"/>
        <v>61.2</v>
      </c>
      <c r="K25" s="65">
        <f t="shared" si="5"/>
        <v>7.8066720000000007</v>
      </c>
      <c r="L25" s="65">
        <f t="shared" si="5"/>
        <v>5</v>
      </c>
      <c r="M25" s="65">
        <f>M26+M27-0.1</f>
        <v>2.6715</v>
      </c>
      <c r="N25" s="65">
        <f>SUM(C25,E25,G25,I25,K25)+M25</f>
        <v>726.63988400000005</v>
      </c>
      <c r="O25" s="48"/>
      <c r="P25" s="48"/>
    </row>
    <row r="26" spans="1:16" ht="37.5" customHeight="1" thickBot="1" x14ac:dyDescent="0.35">
      <c r="A26" s="64" t="s">
        <v>16</v>
      </c>
      <c r="B26" s="65">
        <v>0.8</v>
      </c>
      <c r="C26" s="66">
        <v>7.3</v>
      </c>
      <c r="D26" s="65">
        <v>38.5</v>
      </c>
      <c r="E26" s="65">
        <f>D26*ТАРИФЫ!F5/1000</f>
        <v>383.35835999999995</v>
      </c>
      <c r="F26" s="65">
        <v>0.9</v>
      </c>
      <c r="G26" s="65">
        <f>F26*ТАРИФЫ!F5/1000</f>
        <v>8.9616240000000005</v>
      </c>
      <c r="H26" s="65">
        <v>30.6</v>
      </c>
      <c r="I26" s="65">
        <f>H26*ТАРИФЫ!F10/1000</f>
        <v>1.6046640000000003</v>
      </c>
      <c r="J26" s="65">
        <v>30.6</v>
      </c>
      <c r="K26" s="65">
        <f>J26*ТАРИФЫ!F15/1000</f>
        <v>3.1836240000000005</v>
      </c>
      <c r="L26" s="65">
        <v>2.5</v>
      </c>
      <c r="M26" s="65">
        <f>L26*ТАРИФЫ!D26/1000</f>
        <v>1.3412500000000001</v>
      </c>
      <c r="N26" s="65">
        <f>SUM(C26,E26,G26,I26,K26)+M26+0.1</f>
        <v>405.84952199999998</v>
      </c>
      <c r="O26" s="48"/>
      <c r="P26" s="48"/>
    </row>
    <row r="27" spans="1:16" ht="20.100000000000001" customHeight="1" thickBot="1" x14ac:dyDescent="0.35">
      <c r="A27" s="64" t="s">
        <v>33</v>
      </c>
      <c r="B27" s="65">
        <v>0.8</v>
      </c>
      <c r="C27" s="66">
        <f>B27*ТАРИФЫ!G21</f>
        <v>8.5440000000000005</v>
      </c>
      <c r="D27" s="65">
        <v>27.4</v>
      </c>
      <c r="E27" s="65">
        <f>D27*ТАРИФЫ!G5/1000</f>
        <v>293.91431999999998</v>
      </c>
      <c r="F27" s="65">
        <v>0.9</v>
      </c>
      <c r="G27" s="65">
        <f>F27*ТАРИФЫ!G5/1000</f>
        <v>9.6541199999999989</v>
      </c>
      <c r="H27" s="65">
        <v>30.6</v>
      </c>
      <c r="I27" s="65">
        <f>H27*ТАРИФЫ!G10/1000</f>
        <v>2.7246240000000004</v>
      </c>
      <c r="J27" s="65">
        <v>30.6</v>
      </c>
      <c r="K27" s="65">
        <f>J27*ТАРИФЫ!G15/1000</f>
        <v>4.6230480000000007</v>
      </c>
      <c r="L27" s="65">
        <v>2.5</v>
      </c>
      <c r="M27" s="65">
        <f>L27*ТАРИФЫ!E26/1000</f>
        <v>1.43025</v>
      </c>
      <c r="N27" s="65">
        <f>SUM(C27,E27,G27,I27,K27)+M27-0.1</f>
        <v>320.7903619999999</v>
      </c>
      <c r="O27" s="48"/>
      <c r="P27" s="48"/>
    </row>
    <row r="28" spans="1:16" ht="106.5" customHeight="1" thickBot="1" x14ac:dyDescent="0.35">
      <c r="A28" s="64" t="s">
        <v>90</v>
      </c>
      <c r="B28" s="65">
        <f>B29+B30</f>
        <v>4.5</v>
      </c>
      <c r="C28" s="65">
        <f t="shared" ref="C28:L28" si="6">C29+C30</f>
        <v>42.691999999999993</v>
      </c>
      <c r="D28" s="65">
        <f t="shared" si="6"/>
        <v>112.2</v>
      </c>
      <c r="E28" s="65">
        <f>E29+E30</f>
        <v>1869.3145439999998</v>
      </c>
      <c r="F28" s="65">
        <f t="shared" si="6"/>
        <v>0</v>
      </c>
      <c r="G28" s="65">
        <f t="shared" si="6"/>
        <v>0</v>
      </c>
      <c r="H28" s="65">
        <f t="shared" si="6"/>
        <v>28.799999999999997</v>
      </c>
      <c r="I28" s="65">
        <f t="shared" si="6"/>
        <v>4.1973479999999999</v>
      </c>
      <c r="J28" s="65">
        <f t="shared" si="6"/>
        <v>28.799999999999997</v>
      </c>
      <c r="K28" s="65">
        <f t="shared" si="6"/>
        <v>4.044971844</v>
      </c>
      <c r="L28" s="65">
        <f t="shared" si="6"/>
        <v>5</v>
      </c>
      <c r="M28" s="65">
        <f>M29+M30-0.1</f>
        <v>2.6715</v>
      </c>
      <c r="N28" s="65">
        <f>SUM(C28,E28,G28,I28,K28)+M28</f>
        <v>1922.9203638439997</v>
      </c>
      <c r="O28" s="48"/>
      <c r="P28" s="48"/>
    </row>
    <row r="29" spans="1:16" ht="20.100000000000001" customHeight="1" thickBot="1" x14ac:dyDescent="0.35">
      <c r="A29" s="64" t="s">
        <v>16</v>
      </c>
      <c r="B29" s="65">
        <v>2.6</v>
      </c>
      <c r="C29" s="66">
        <v>22.4</v>
      </c>
      <c r="D29" s="65">
        <v>69</v>
      </c>
      <c r="E29" s="65">
        <f>D29*ТАРИФЫ!F8/1000</f>
        <v>1048.9931999999999</v>
      </c>
      <c r="F29" s="65">
        <v>0</v>
      </c>
      <c r="G29" s="66">
        <v>0</v>
      </c>
      <c r="H29" s="65">
        <v>14.7</v>
      </c>
      <c r="I29" s="65">
        <f>H29*ТАРИФЫ!F13/1000</f>
        <v>1.8945359999999998</v>
      </c>
      <c r="J29" s="65">
        <v>14.7</v>
      </c>
      <c r="K29" s="65">
        <f>J29*ТАРИФЫ!F19/1000</f>
        <v>2.0162520000000002</v>
      </c>
      <c r="L29" s="65">
        <v>2.5</v>
      </c>
      <c r="M29" s="65">
        <f>L29*ТАРИФЫ!D29/1000</f>
        <v>1.3412500000000001</v>
      </c>
      <c r="N29" s="65">
        <f t="shared" ref="N29:N33" si="7">SUM(C29,E29,G29,I29,K29)+M29</f>
        <v>1076.6452379999998</v>
      </c>
      <c r="O29" s="48"/>
      <c r="P29" s="48"/>
    </row>
    <row r="30" spans="1:16" ht="20.100000000000001" customHeight="1" thickBot="1" x14ac:dyDescent="0.35">
      <c r="A30" s="64" t="s">
        <v>33</v>
      </c>
      <c r="B30" s="65">
        <v>1.9</v>
      </c>
      <c r="C30" s="66">
        <f>B30*ТАРИФЫ!G21</f>
        <v>20.291999999999998</v>
      </c>
      <c r="D30" s="65">
        <v>43.2</v>
      </c>
      <c r="E30" s="65">
        <f>D30*ТАРИФЫ!G8/1000</f>
        <v>820.32134399999995</v>
      </c>
      <c r="F30" s="65">
        <v>0</v>
      </c>
      <c r="G30" s="66">
        <v>0</v>
      </c>
      <c r="H30" s="65">
        <v>14.1</v>
      </c>
      <c r="I30" s="65">
        <f>H30*ТАРИФЫ!G13/1000</f>
        <v>2.3028119999999999</v>
      </c>
      <c r="J30" s="65">
        <v>14.1</v>
      </c>
      <c r="K30" s="65">
        <f>J30*ТАРИФЫ!G19/1000</f>
        <v>2.0287198439999998</v>
      </c>
      <c r="L30" s="65">
        <v>2.5</v>
      </c>
      <c r="M30" s="65">
        <f>L30*ТАРИФЫ!E29/1000</f>
        <v>1.43025</v>
      </c>
      <c r="N30" s="65">
        <f>SUM(C30,E30,G30,I30,K30)+M30-0.1</f>
        <v>846.27512584399994</v>
      </c>
      <c r="O30" s="48"/>
      <c r="P30" s="48"/>
    </row>
    <row r="31" spans="1:16" ht="111.75" customHeight="1" thickBot="1" x14ac:dyDescent="0.35">
      <c r="A31" s="64" t="s">
        <v>79</v>
      </c>
      <c r="B31" s="65">
        <f>B32+B33</f>
        <v>6.5</v>
      </c>
      <c r="C31" s="65">
        <f>C32+C33</f>
        <v>64.84</v>
      </c>
      <c r="D31" s="65">
        <f t="shared" ref="D31:J31" si="8">D32+D33</f>
        <v>41.599999999999994</v>
      </c>
      <c r="E31" s="65">
        <f>E32+E33-0.1</f>
        <v>958.18931599999985</v>
      </c>
      <c r="F31" s="65">
        <f t="shared" si="8"/>
        <v>0</v>
      </c>
      <c r="G31" s="65">
        <f t="shared" si="8"/>
        <v>0</v>
      </c>
      <c r="H31" s="65">
        <f t="shared" si="8"/>
        <v>15.5</v>
      </c>
      <c r="I31" s="65">
        <f t="shared" si="8"/>
        <v>1.6825920000000001</v>
      </c>
      <c r="J31" s="65">
        <f t="shared" si="8"/>
        <v>15.5</v>
      </c>
      <c r="K31" s="65">
        <f>K32+K33+0.1</f>
        <v>0.63721599999999989</v>
      </c>
      <c r="L31" s="65">
        <f>L32+L33</f>
        <v>3.4</v>
      </c>
      <c r="M31" s="65">
        <f>M32+M33</f>
        <v>1.88462</v>
      </c>
      <c r="N31" s="65">
        <f>SUM(C31,E31,G31,I31,K31)+M31</f>
        <v>1027.2337440000001</v>
      </c>
      <c r="O31" s="48"/>
      <c r="P31" s="48"/>
    </row>
    <row r="32" spans="1:16" ht="19.5" customHeight="1" thickBot="1" x14ac:dyDescent="0.35">
      <c r="A32" s="64" t="s">
        <v>16</v>
      </c>
      <c r="B32" s="65">
        <v>3.5</v>
      </c>
      <c r="C32" s="66">
        <v>32.799999999999997</v>
      </c>
      <c r="D32" s="65">
        <v>23.9</v>
      </c>
      <c r="E32" s="65">
        <f>D32*ТАРИФЫ!F6/1000</f>
        <v>498.94882799999993</v>
      </c>
      <c r="F32" s="65">
        <v>0</v>
      </c>
      <c r="G32" s="65">
        <v>0</v>
      </c>
      <c r="H32" s="65">
        <v>7.9</v>
      </c>
      <c r="I32" s="65">
        <f>H32*ТАРИФЫ!F11/1000</f>
        <v>0.81528000000000012</v>
      </c>
      <c r="J32" s="65">
        <v>7.9</v>
      </c>
      <c r="K32" s="65">
        <f>J32*ТАРИФЫ!F16/1000</f>
        <v>0.26544000000000001</v>
      </c>
      <c r="L32" s="65">
        <v>1.7</v>
      </c>
      <c r="M32" s="65">
        <f>L32*ТАРИФЫ!D27/1000</f>
        <v>0.91204999999999992</v>
      </c>
      <c r="N32" s="65">
        <f t="shared" si="7"/>
        <v>533.74159799999995</v>
      </c>
      <c r="O32" s="48"/>
      <c r="P32" s="48"/>
    </row>
    <row r="33" spans="1:16" ht="19.5" customHeight="1" thickBot="1" x14ac:dyDescent="0.35">
      <c r="A33" s="64" t="s">
        <v>33</v>
      </c>
      <c r="B33" s="65">
        <v>3</v>
      </c>
      <c r="C33" s="66">
        <f>B33*ТАРИФЫ!G22</f>
        <v>32.04</v>
      </c>
      <c r="D33" s="65">
        <v>17.7</v>
      </c>
      <c r="E33" s="65">
        <f>D33*ТАРИФЫ!G6/1000</f>
        <v>459.34048799999994</v>
      </c>
      <c r="F33" s="65">
        <v>0</v>
      </c>
      <c r="G33" s="65">
        <v>0</v>
      </c>
      <c r="H33" s="65">
        <v>7.6</v>
      </c>
      <c r="I33" s="65">
        <f>H33*ТАРИФЫ!G11/1000</f>
        <v>0.86731199999999986</v>
      </c>
      <c r="J33" s="65">
        <v>7.6</v>
      </c>
      <c r="K33" s="65">
        <f>J33*ТАРИФЫ!G16/1000</f>
        <v>0.27177599999999996</v>
      </c>
      <c r="L33" s="65">
        <v>1.7</v>
      </c>
      <c r="M33" s="65">
        <f>L33*ТАРИФЫ!E27/1000</f>
        <v>0.97257000000000005</v>
      </c>
      <c r="N33" s="65">
        <f t="shared" si="7"/>
        <v>493.49214599999999</v>
      </c>
      <c r="O33" s="48"/>
      <c r="P33" s="48"/>
    </row>
    <row r="34" spans="1:16" ht="114" customHeight="1" thickBot="1" x14ac:dyDescent="0.35">
      <c r="A34" s="64" t="s">
        <v>80</v>
      </c>
      <c r="B34" s="65">
        <f>B35+B36</f>
        <v>2.5</v>
      </c>
      <c r="C34" s="65">
        <f t="shared" ref="C34:J34" si="9">C35+C36</f>
        <v>22.584</v>
      </c>
      <c r="D34" s="65">
        <f t="shared" si="9"/>
        <v>34.799999999999997</v>
      </c>
      <c r="E34" s="65">
        <f>E35+E36</f>
        <v>357.13439999999997</v>
      </c>
      <c r="F34" s="65">
        <f t="shared" si="9"/>
        <v>0.2</v>
      </c>
      <c r="G34" s="65">
        <f t="shared" si="9"/>
        <v>2.068416</v>
      </c>
      <c r="H34" s="65">
        <f t="shared" si="9"/>
        <v>10.399999999999999</v>
      </c>
      <c r="I34" s="65">
        <f>I35+I36</f>
        <v>0.72105599999999992</v>
      </c>
      <c r="J34" s="65">
        <f t="shared" si="9"/>
        <v>10.399999999999999</v>
      </c>
      <c r="K34" s="65">
        <f>K35+K36</f>
        <v>1.010016</v>
      </c>
      <c r="L34" s="65">
        <f>L35+L36</f>
        <v>3.4</v>
      </c>
      <c r="M34" s="65">
        <f>M35+M36</f>
        <v>2.0670299999999999</v>
      </c>
      <c r="N34" s="65">
        <f t="shared" ref="N34:N38" si="10">SUM(C34,E34,G34,I34,K34)+M34</f>
        <v>385.58491799999996</v>
      </c>
      <c r="O34" s="48"/>
      <c r="P34" s="48"/>
    </row>
    <row r="35" spans="1:16" ht="20.100000000000001" customHeight="1" thickBot="1" x14ac:dyDescent="0.35">
      <c r="A35" s="64" t="s">
        <v>16</v>
      </c>
      <c r="B35" s="65">
        <v>1.2</v>
      </c>
      <c r="C35" s="66">
        <v>8.6999999999999993</v>
      </c>
      <c r="D35" s="65">
        <v>21</v>
      </c>
      <c r="E35" s="65">
        <f>D35*ТАРИФЫ!F5/1000</f>
        <v>209.10455999999996</v>
      </c>
      <c r="F35" s="65">
        <v>0.1</v>
      </c>
      <c r="G35" s="65">
        <f>F35*ТАРИФЫ!F5/1000</f>
        <v>0.99573599999999984</v>
      </c>
      <c r="H35" s="65">
        <v>5.6</v>
      </c>
      <c r="I35" s="65">
        <f>H35*ТАРИФЫ!F10/1000</f>
        <v>0.29366399999999998</v>
      </c>
      <c r="J35" s="65">
        <v>5.6</v>
      </c>
      <c r="K35" s="65">
        <f>J35*ТАРИФЫ!F15/1000</f>
        <v>0.58262400000000003</v>
      </c>
      <c r="L35" s="65">
        <v>1.7</v>
      </c>
      <c r="M35" s="65">
        <f>L35*ТАРИФЫ!F26/1000</f>
        <v>1.0944599999999998</v>
      </c>
      <c r="N35" s="65">
        <f t="shared" si="10"/>
        <v>220.77104399999996</v>
      </c>
      <c r="O35" s="48"/>
      <c r="P35" s="48"/>
    </row>
    <row r="36" spans="1:16" ht="20.100000000000001" customHeight="1" thickBot="1" x14ac:dyDescent="0.35">
      <c r="A36" s="64" t="s">
        <v>33</v>
      </c>
      <c r="B36" s="65">
        <v>1.3</v>
      </c>
      <c r="C36" s="66">
        <f>B36*ТАРИФЫ!G21</f>
        <v>13.884</v>
      </c>
      <c r="D36" s="65">
        <v>13.8</v>
      </c>
      <c r="E36" s="65">
        <f>D36*ТАРИФЫ!G5/1000</f>
        <v>148.02984000000001</v>
      </c>
      <c r="F36" s="65">
        <v>0.1</v>
      </c>
      <c r="G36" s="65">
        <f>F36*ТАРИФЫ!G5/1000</f>
        <v>1.0726800000000001</v>
      </c>
      <c r="H36" s="65">
        <v>4.8</v>
      </c>
      <c r="I36" s="65">
        <f>H36*ТАРИФЫ!G10/1000</f>
        <v>0.42739199999999999</v>
      </c>
      <c r="J36" s="65">
        <v>4.8</v>
      </c>
      <c r="K36" s="65">
        <f>J36*ТАРИФЫ!G10/1000</f>
        <v>0.42739199999999999</v>
      </c>
      <c r="L36" s="65">
        <v>1.7</v>
      </c>
      <c r="M36" s="65">
        <f>L36*ТАРИФЫ!E26/1000</f>
        <v>0.97257000000000005</v>
      </c>
      <c r="N36" s="65">
        <f t="shared" si="10"/>
        <v>164.81387399999997</v>
      </c>
      <c r="O36" s="48"/>
      <c r="P36" s="48"/>
    </row>
    <row r="37" spans="1:16" ht="45" customHeight="1" thickBot="1" x14ac:dyDescent="0.35">
      <c r="A37" s="64" t="s">
        <v>81</v>
      </c>
      <c r="B37" s="65">
        <f>B38+B39</f>
        <v>29.5</v>
      </c>
      <c r="C37" s="65">
        <f t="shared" ref="C37:J37" si="11">C38+C39</f>
        <v>284.52</v>
      </c>
      <c r="D37" s="65">
        <f t="shared" si="11"/>
        <v>61.099999999999994</v>
      </c>
      <c r="E37" s="65">
        <f t="shared" si="11"/>
        <v>628.1693039999999</v>
      </c>
      <c r="F37" s="65">
        <f t="shared" si="11"/>
        <v>22.8</v>
      </c>
      <c r="G37" s="65">
        <f>G38+G39</f>
        <v>235.41470399999997</v>
      </c>
      <c r="H37" s="65">
        <f t="shared" si="11"/>
        <v>663.1</v>
      </c>
      <c r="I37" s="65">
        <f>I38+I39</f>
        <v>46.331244000000005</v>
      </c>
      <c r="J37" s="65">
        <f t="shared" si="11"/>
        <v>663.1</v>
      </c>
      <c r="K37" s="65">
        <f>K38+K39</f>
        <v>83.844156000000012</v>
      </c>
      <c r="L37" s="65">
        <f>L38+L39</f>
        <v>1.8</v>
      </c>
      <c r="M37" s="65">
        <f>M38+M39</f>
        <v>0.99773999999999996</v>
      </c>
      <c r="N37" s="65">
        <f>SUM(C37,E37,G37,I37,K37)+M37-0.1</f>
        <v>1279.177148</v>
      </c>
      <c r="O37" s="48"/>
      <c r="P37" s="48"/>
    </row>
    <row r="38" spans="1:16" ht="20.100000000000001" customHeight="1" thickBot="1" x14ac:dyDescent="0.35">
      <c r="A38" s="64" t="s">
        <v>16</v>
      </c>
      <c r="B38" s="65">
        <v>15.5</v>
      </c>
      <c r="C38" s="66">
        <v>135</v>
      </c>
      <c r="D38" s="65">
        <v>35.4</v>
      </c>
      <c r="E38" s="65">
        <f>D38*ТАРИФЫ!F5/1000</f>
        <v>352.49054399999994</v>
      </c>
      <c r="F38" s="65">
        <v>11.9</v>
      </c>
      <c r="G38" s="65">
        <f>F38*ТАРИФЫ!F5/1000</f>
        <v>118.49258399999999</v>
      </c>
      <c r="H38" s="65">
        <v>347.3</v>
      </c>
      <c r="I38" s="65">
        <f>H38*ТАРИФЫ!F10/1000</f>
        <v>18.212412000000004</v>
      </c>
      <c r="J38" s="65">
        <v>347.3</v>
      </c>
      <c r="K38" s="65">
        <f>J38*ТАРИФЫ!F15/1000</f>
        <v>36.133092000000005</v>
      </c>
      <c r="L38" s="65">
        <v>0.9</v>
      </c>
      <c r="M38" s="65">
        <f>L38*ТАРИФЫ!D26/1000</f>
        <v>0.48285</v>
      </c>
      <c r="N38" s="65">
        <f t="shared" si="10"/>
        <v>660.81148199999996</v>
      </c>
      <c r="O38" s="48"/>
      <c r="P38" s="48"/>
    </row>
    <row r="39" spans="1:16" ht="20.100000000000001" customHeight="1" thickBot="1" x14ac:dyDescent="0.35">
      <c r="A39" s="64" t="s">
        <v>33</v>
      </c>
      <c r="B39" s="65">
        <v>14</v>
      </c>
      <c r="C39" s="66">
        <f>B39*ТАРИФЫ!G21</f>
        <v>149.51999999999998</v>
      </c>
      <c r="D39" s="65">
        <v>25.7</v>
      </c>
      <c r="E39" s="65">
        <f>D39*ТАРИФЫ!G5/1000</f>
        <v>275.67875999999995</v>
      </c>
      <c r="F39" s="65">
        <v>10.9</v>
      </c>
      <c r="G39" s="65">
        <f>F39*ТАРИФЫ!G5/1000</f>
        <v>116.92211999999999</v>
      </c>
      <c r="H39" s="65">
        <v>315.8</v>
      </c>
      <c r="I39" s="65">
        <f>H39*ТАРИФЫ!G10/1000</f>
        <v>28.118832000000001</v>
      </c>
      <c r="J39" s="65">
        <v>315.8</v>
      </c>
      <c r="K39" s="65">
        <f>J39*ТАРИФЫ!G15/1000</f>
        <v>47.711064000000007</v>
      </c>
      <c r="L39" s="65">
        <v>0.9</v>
      </c>
      <c r="M39" s="65">
        <f>L39*ТАРИФЫ!E26/1000</f>
        <v>0.51488999999999996</v>
      </c>
      <c r="N39" s="65">
        <f>SUM(C39,E39,G39,I39,K39)+M39-0.1</f>
        <v>618.36566599999992</v>
      </c>
      <c r="O39" s="48"/>
      <c r="P39" s="48"/>
    </row>
    <row r="40" spans="1:16" ht="135.75" customHeight="1" thickBot="1" x14ac:dyDescent="0.35">
      <c r="A40" s="64" t="s">
        <v>82</v>
      </c>
      <c r="B40" s="65">
        <f>B41+B42</f>
        <v>10.199999999999999</v>
      </c>
      <c r="C40" s="65">
        <f t="shared" ref="C40:J40" si="12">C41+C42</f>
        <v>92.467999999999989</v>
      </c>
      <c r="D40" s="65">
        <f t="shared" si="12"/>
        <v>228.39999999999998</v>
      </c>
      <c r="E40" s="65">
        <f t="shared" si="12"/>
        <v>2347.1269919999995</v>
      </c>
      <c r="F40" s="65">
        <f t="shared" si="12"/>
        <v>0</v>
      </c>
      <c r="G40" s="65">
        <f t="shared" si="12"/>
        <v>0</v>
      </c>
      <c r="H40" s="65">
        <f t="shared" si="12"/>
        <v>67</v>
      </c>
      <c r="I40" s="65">
        <f>I41+I42+0.1</f>
        <v>5.0335599999999996</v>
      </c>
      <c r="J40" s="65">
        <f t="shared" si="12"/>
        <v>67</v>
      </c>
      <c r="K40" s="65">
        <f>K41+K42</f>
        <v>8.7958320000000008</v>
      </c>
      <c r="L40" s="65">
        <f>L41+L42</f>
        <v>114.4</v>
      </c>
      <c r="M40" s="65">
        <f>M41+M42</f>
        <v>63.411920000000002</v>
      </c>
      <c r="N40" s="65">
        <f>SUM(C40,E40,G40,I40,K40)+M40</f>
        <v>2516.836303999999</v>
      </c>
      <c r="O40" s="48"/>
      <c r="P40" s="48"/>
    </row>
    <row r="41" spans="1:16" ht="20.100000000000001" customHeight="1" thickBot="1" x14ac:dyDescent="0.35">
      <c r="A41" s="64" t="s">
        <v>16</v>
      </c>
      <c r="B41" s="65">
        <v>5.0999999999999996</v>
      </c>
      <c r="C41" s="66">
        <v>38</v>
      </c>
      <c r="D41" s="65">
        <v>133.69999999999999</v>
      </c>
      <c r="E41" s="65">
        <f>D41*ТАРИФЫ!F5/1000</f>
        <v>1331.2990319999997</v>
      </c>
      <c r="F41" s="65">
        <v>0</v>
      </c>
      <c r="G41" s="65">
        <f>F41*ТАРИФЫ!F5/1000</f>
        <v>0</v>
      </c>
      <c r="H41" s="65">
        <v>28.2</v>
      </c>
      <c r="I41" s="65">
        <f>H41*ТАРИФЫ!F10/1000</f>
        <v>1.4788079999999999</v>
      </c>
      <c r="J41" s="65">
        <f>H41</f>
        <v>28.2</v>
      </c>
      <c r="K41" s="65">
        <f>J41*ТАРИФЫ!F15/1000</f>
        <v>2.9339279999999999</v>
      </c>
      <c r="L41" s="65">
        <v>57.2</v>
      </c>
      <c r="M41" s="65">
        <f>L41*ТАРИФЫ!D26/1000</f>
        <v>30.687800000000003</v>
      </c>
      <c r="N41" s="65">
        <f>SUM(C41,E41,G41,I41,K41)+M41</f>
        <v>1404.3995679999996</v>
      </c>
      <c r="O41" s="48"/>
      <c r="P41" s="48"/>
    </row>
    <row r="42" spans="1:16" ht="20.100000000000001" customHeight="1" thickBot="1" x14ac:dyDescent="0.35">
      <c r="A42" s="64" t="s">
        <v>33</v>
      </c>
      <c r="B42" s="65">
        <v>5.0999999999999996</v>
      </c>
      <c r="C42" s="66">
        <f>B42*ТАРИФЫ!G21</f>
        <v>54.467999999999996</v>
      </c>
      <c r="D42" s="65">
        <v>94.7</v>
      </c>
      <c r="E42" s="65">
        <f>D42*ТАРИФЫ!G5/1000</f>
        <v>1015.82796</v>
      </c>
      <c r="F42" s="65">
        <v>0</v>
      </c>
      <c r="G42" s="65">
        <f>F42*ТАРИФЫ!G5/1000</f>
        <v>0</v>
      </c>
      <c r="H42" s="65">
        <v>38.799999999999997</v>
      </c>
      <c r="I42" s="65">
        <f>H42*ТАРИФЫ!G10/1000</f>
        <v>3.454752</v>
      </c>
      <c r="J42" s="65">
        <v>38.799999999999997</v>
      </c>
      <c r="K42" s="65">
        <f>J42*ТАРИФЫ!G15/1000</f>
        <v>5.8619040000000009</v>
      </c>
      <c r="L42" s="65">
        <v>57.2</v>
      </c>
      <c r="M42" s="65">
        <f>L42*ТАРИФЫ!E26/1000</f>
        <v>32.724119999999999</v>
      </c>
      <c r="N42" s="65">
        <f>SUM(C42,E42,G42,I42,K42)+M42+0.1</f>
        <v>1112.4367360000001</v>
      </c>
      <c r="O42" s="48"/>
      <c r="P42" s="48"/>
    </row>
    <row r="43" spans="1:16" ht="111" customHeight="1" thickBot="1" x14ac:dyDescent="0.35">
      <c r="A43" s="64" t="s">
        <v>83</v>
      </c>
      <c r="B43" s="65">
        <f>B44+B45</f>
        <v>94.9</v>
      </c>
      <c r="C43" s="65">
        <f t="shared" ref="C43:K43" si="13">C44+C45</f>
        <v>822.476</v>
      </c>
      <c r="D43" s="65">
        <f t="shared" si="13"/>
        <v>144.19999999999999</v>
      </c>
      <c r="E43" s="65">
        <f>E44+E45+0.1</f>
        <v>1481.0404959999996</v>
      </c>
      <c r="F43" s="65">
        <f t="shared" si="13"/>
        <v>0</v>
      </c>
      <c r="G43" s="65">
        <f t="shared" si="13"/>
        <v>0</v>
      </c>
      <c r="H43" s="65">
        <f t="shared" si="13"/>
        <v>0</v>
      </c>
      <c r="I43" s="65">
        <f t="shared" si="13"/>
        <v>0</v>
      </c>
      <c r="J43" s="65">
        <f t="shared" si="13"/>
        <v>0</v>
      </c>
      <c r="K43" s="65">
        <f t="shared" si="13"/>
        <v>0</v>
      </c>
      <c r="L43" s="65">
        <v>0</v>
      </c>
      <c r="M43" s="65">
        <v>0</v>
      </c>
      <c r="N43" s="65">
        <f>SUM(C43,E43,G43,I43,K43)+M43</f>
        <v>2303.5164959999997</v>
      </c>
      <c r="O43" s="48"/>
      <c r="P43" s="48"/>
    </row>
    <row r="44" spans="1:16" ht="20.100000000000001" customHeight="1" thickBot="1" x14ac:dyDescent="0.35">
      <c r="A44" s="64" t="s">
        <v>16</v>
      </c>
      <c r="B44" s="65">
        <v>61.7</v>
      </c>
      <c r="C44" s="66">
        <v>467.9</v>
      </c>
      <c r="D44" s="65">
        <v>85.6</v>
      </c>
      <c r="E44" s="65">
        <f>D44*ТАРИФЫ!F5/1000</f>
        <v>852.35001599999987</v>
      </c>
      <c r="F44" s="65">
        <v>0</v>
      </c>
      <c r="G44" s="65">
        <v>0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f>SUM(C44,E44,G44,I44,K44)+M44</f>
        <v>1320.250016</v>
      </c>
      <c r="O44" s="48"/>
      <c r="P44" s="48"/>
    </row>
    <row r="45" spans="1:16" ht="20.100000000000001" customHeight="1" thickBot="1" x14ac:dyDescent="0.35">
      <c r="A45" s="64" t="s">
        <v>33</v>
      </c>
      <c r="B45" s="65">
        <v>33.200000000000003</v>
      </c>
      <c r="C45" s="66">
        <f>B45*ТАРИФЫ!G21</f>
        <v>354.57600000000002</v>
      </c>
      <c r="D45" s="65">
        <v>58.6</v>
      </c>
      <c r="E45" s="65">
        <f>D45*ТАРИФЫ!G5/1000</f>
        <v>628.59047999999996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f>SUM(C45,E45,G45,I45,K45)+M45</f>
        <v>983.16647999999998</v>
      </c>
      <c r="O45" s="48"/>
      <c r="P45" s="48"/>
    </row>
    <row r="46" spans="1:16" ht="40.5" customHeight="1" thickBot="1" x14ac:dyDescent="0.35">
      <c r="A46" s="64" t="s">
        <v>35</v>
      </c>
      <c r="B46" s="65">
        <f>B47+B48</f>
        <v>0</v>
      </c>
      <c r="C46" s="65">
        <f t="shared" ref="C46:I46" si="14">C47+C48</f>
        <v>0</v>
      </c>
      <c r="D46" s="65">
        <f t="shared" si="14"/>
        <v>0</v>
      </c>
      <c r="E46" s="65">
        <f t="shared" si="14"/>
        <v>0</v>
      </c>
      <c r="F46" s="65">
        <f t="shared" si="14"/>
        <v>0</v>
      </c>
      <c r="G46" s="65">
        <f t="shared" si="14"/>
        <v>0</v>
      </c>
      <c r="H46" s="65">
        <f t="shared" si="14"/>
        <v>1000</v>
      </c>
      <c r="I46" s="65">
        <f t="shared" si="14"/>
        <v>74.400000000000006</v>
      </c>
      <c r="J46" s="65">
        <f>J47+J48</f>
        <v>1000</v>
      </c>
      <c r="K46" s="65">
        <f>K47+K48-0.1</f>
        <v>132.16400000000002</v>
      </c>
      <c r="L46" s="65">
        <v>0</v>
      </c>
      <c r="M46" s="65">
        <v>0</v>
      </c>
      <c r="N46" s="65">
        <f>SUM(C46,E46,G46,I46,K46)+M46</f>
        <v>206.56400000000002</v>
      </c>
      <c r="O46" s="48"/>
      <c r="P46" s="48"/>
    </row>
    <row r="47" spans="1:16" ht="20.100000000000001" customHeight="1" thickBot="1" x14ac:dyDescent="0.35">
      <c r="A47" s="64" t="s">
        <v>16</v>
      </c>
      <c r="B47" s="65">
        <v>0</v>
      </c>
      <c r="C47" s="66">
        <v>0</v>
      </c>
      <c r="D47" s="65">
        <v>0</v>
      </c>
      <c r="E47" s="65">
        <v>0</v>
      </c>
      <c r="F47" s="65">
        <v>0</v>
      </c>
      <c r="G47" s="65">
        <v>0</v>
      </c>
      <c r="H47" s="65">
        <v>400</v>
      </c>
      <c r="I47" s="65">
        <f>H47*ТАРИФЫ!F10/1000</f>
        <v>20.976000000000003</v>
      </c>
      <c r="J47" s="65">
        <f>H47</f>
        <v>400</v>
      </c>
      <c r="K47" s="65">
        <f>J47*ТАРИФЫ!F15/1000</f>
        <v>41.616</v>
      </c>
      <c r="L47" s="65">
        <v>0</v>
      </c>
      <c r="M47" s="65">
        <f>L47*ТАРИФЫ!H15/1000</f>
        <v>0</v>
      </c>
      <c r="N47" s="65">
        <f>SUM(C47,E47,G47,I47,K47)+M47</f>
        <v>62.591999999999999</v>
      </c>
      <c r="O47" s="48"/>
      <c r="P47" s="48"/>
    </row>
    <row r="48" spans="1:16" ht="20.100000000000001" customHeight="1" thickBot="1" x14ac:dyDescent="0.35">
      <c r="A48" s="64" t="s">
        <v>33</v>
      </c>
      <c r="B48" s="65">
        <v>0</v>
      </c>
      <c r="C48" s="66">
        <f>B48*8.14</f>
        <v>0</v>
      </c>
      <c r="D48" s="65">
        <v>0</v>
      </c>
      <c r="E48" s="65">
        <v>0</v>
      </c>
      <c r="F48" s="65">
        <v>0</v>
      </c>
      <c r="G48" s="65">
        <v>0</v>
      </c>
      <c r="H48" s="65">
        <v>600</v>
      </c>
      <c r="I48" s="65">
        <f>H48*ТАРИФЫ!G10/1000</f>
        <v>53.424000000000007</v>
      </c>
      <c r="J48" s="65">
        <v>600</v>
      </c>
      <c r="K48" s="65">
        <f>J48*ТАРИФЫ!G15/1000</f>
        <v>90.64800000000001</v>
      </c>
      <c r="L48" s="65">
        <v>0</v>
      </c>
      <c r="M48" s="65">
        <f>L48*ТАРИФЫ!H16/1000</f>
        <v>0</v>
      </c>
      <c r="N48" s="65">
        <f>SUM(C48,E48,G48,I48,K48)+M48-0.1</f>
        <v>143.97200000000001</v>
      </c>
      <c r="O48" s="48"/>
      <c r="P48" s="48"/>
    </row>
    <row r="49" spans="1:16" ht="30" customHeight="1" thickBot="1" x14ac:dyDescent="0.35">
      <c r="A49" s="82" t="s">
        <v>68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9"/>
      <c r="O49" s="48"/>
      <c r="P49" s="48"/>
    </row>
    <row r="50" spans="1:16" ht="82.5" customHeight="1" thickBot="1" x14ac:dyDescent="0.35">
      <c r="A50" s="64" t="s">
        <v>84</v>
      </c>
      <c r="B50" s="65">
        <f>B51+B52</f>
        <v>160.19999999999999</v>
      </c>
      <c r="C50" s="65">
        <f>C51+C52</f>
        <v>1559</v>
      </c>
      <c r="D50" s="65">
        <f t="shared" ref="D50:J50" si="15">D51+D52</f>
        <v>945.1</v>
      </c>
      <c r="E50" s="65">
        <f t="shared" si="15"/>
        <v>9623.4510959999989</v>
      </c>
      <c r="F50" s="65">
        <f t="shared" si="15"/>
        <v>98</v>
      </c>
      <c r="G50" s="65">
        <f>G51+G52</f>
        <v>1001.443632</v>
      </c>
      <c r="H50" s="65">
        <f t="shared" si="15"/>
        <v>4442.1000000000004</v>
      </c>
      <c r="I50" s="65">
        <f>I51+I52</f>
        <v>304.01726400000001</v>
      </c>
      <c r="J50" s="65">
        <f t="shared" si="15"/>
        <v>4442.1000000000004</v>
      </c>
      <c r="K50" s="65">
        <f>K51+K52</f>
        <v>553.50306</v>
      </c>
      <c r="L50" s="65">
        <f>L51+L52</f>
        <v>140</v>
      </c>
      <c r="M50" s="65">
        <f>M51+M52</f>
        <v>77.602000000000004</v>
      </c>
      <c r="N50" s="65">
        <f>SUM(C50,E50,G50,I50,K50)+M50</f>
        <v>13119.017052000001</v>
      </c>
      <c r="O50" s="48"/>
      <c r="P50" s="48"/>
    </row>
    <row r="51" spans="1:16" ht="20.100000000000001" customHeight="1" thickBot="1" x14ac:dyDescent="0.35">
      <c r="A51" s="64" t="s">
        <v>16</v>
      </c>
      <c r="B51" s="66">
        <v>77.7</v>
      </c>
      <c r="C51" s="66">
        <v>677.9</v>
      </c>
      <c r="D51" s="65">
        <v>668.6</v>
      </c>
      <c r="E51" s="65">
        <f>D51*ТАРИФЫ!F5/1000</f>
        <v>6657.4908959999993</v>
      </c>
      <c r="F51" s="65">
        <v>64.7</v>
      </c>
      <c r="G51" s="65">
        <f>F51*ТАРИФЫ!F5/1000</f>
        <v>644.24119199999996</v>
      </c>
      <c r="H51" s="65">
        <v>2500.1999999999998</v>
      </c>
      <c r="I51" s="65">
        <f>H51*ТАРИФЫ!F10/1000</f>
        <v>131.110488</v>
      </c>
      <c r="J51" s="65">
        <f>H51</f>
        <v>2500.1999999999998</v>
      </c>
      <c r="K51" s="65">
        <f>J51*ТАРИФЫ!F15/1000</f>
        <v>260.12080800000001</v>
      </c>
      <c r="L51" s="65">
        <v>70</v>
      </c>
      <c r="M51" s="65">
        <f>L51*ТАРИФЫ!D26/1000</f>
        <v>37.555</v>
      </c>
      <c r="N51" s="65">
        <f>SUM(C51,E51,G51,I51,K51)+M51</f>
        <v>8408.4183839999987</v>
      </c>
      <c r="O51" s="48"/>
      <c r="P51" s="48"/>
    </row>
    <row r="52" spans="1:16" ht="20.100000000000001" customHeight="1" thickBot="1" x14ac:dyDescent="0.35">
      <c r="A52" s="64" t="s">
        <v>33</v>
      </c>
      <c r="B52" s="66">
        <v>82.5</v>
      </c>
      <c r="C52" s="66">
        <f>B52*ТАРИФЫ!G21</f>
        <v>881.1</v>
      </c>
      <c r="D52" s="65">
        <v>276.5</v>
      </c>
      <c r="E52" s="65">
        <f>D52*ТАРИФЫ!G5/1000</f>
        <v>2965.9601999999995</v>
      </c>
      <c r="F52" s="65">
        <v>33.299999999999997</v>
      </c>
      <c r="G52" s="65">
        <f>F52*ТАРИФЫ!G5/1000</f>
        <v>357.20243999999997</v>
      </c>
      <c r="H52" s="65">
        <v>1941.9</v>
      </c>
      <c r="I52" s="65">
        <f>H52*ТАРИФЫ!G10/1000</f>
        <v>172.90677600000001</v>
      </c>
      <c r="J52" s="65">
        <f>H52</f>
        <v>1941.9</v>
      </c>
      <c r="K52" s="65">
        <f>J52*ТАРИФЫ!G15/1000</f>
        <v>293.38225200000005</v>
      </c>
      <c r="L52" s="65">
        <v>70</v>
      </c>
      <c r="M52" s="65">
        <f>L52*ТАРИФЫ!E26/1000</f>
        <v>40.046999999999997</v>
      </c>
      <c r="N52" s="65">
        <f>SUM(C52,E52,G52,I52,K52)+M52</f>
        <v>4710.5986679999987</v>
      </c>
      <c r="O52" s="48"/>
      <c r="P52" s="48"/>
    </row>
    <row r="53" spans="1:16" ht="90" customHeight="1" thickBot="1" x14ac:dyDescent="0.35">
      <c r="A53" s="64" t="s">
        <v>89</v>
      </c>
      <c r="B53" s="65">
        <f>B54+B55</f>
        <v>36.432000000000002</v>
      </c>
      <c r="C53" s="65">
        <f>C54+C55</f>
        <v>351.94175999999999</v>
      </c>
      <c r="D53" s="65">
        <f t="shared" ref="D53:K53" si="16">D54+D55</f>
        <v>375.7</v>
      </c>
      <c r="E53" s="65">
        <f t="shared" si="16"/>
        <v>6226.4964439999994</v>
      </c>
      <c r="F53" s="65">
        <f t="shared" si="16"/>
        <v>73.400000000000006</v>
      </c>
      <c r="G53" s="65">
        <f>G54+G55-0.1</f>
        <v>1250.9500040000003</v>
      </c>
      <c r="H53" s="65">
        <f t="shared" si="16"/>
        <v>1899</v>
      </c>
      <c r="I53" s="65">
        <f>I54+I55+0.1</f>
        <v>276.04576000000003</v>
      </c>
      <c r="J53" s="65">
        <f t="shared" si="16"/>
        <v>1899</v>
      </c>
      <c r="K53" s="65">
        <f t="shared" si="16"/>
        <v>291.25604104000001</v>
      </c>
      <c r="L53" s="65">
        <f>L54+L55</f>
        <v>49.8</v>
      </c>
      <c r="M53" s="65">
        <f>M54+M55</f>
        <v>27.604139999999997</v>
      </c>
      <c r="N53" s="65">
        <f>N54+N55</f>
        <v>8424.2941490399971</v>
      </c>
      <c r="O53" s="48"/>
      <c r="P53" s="48"/>
    </row>
    <row r="54" spans="1:16" ht="20.100000000000001" customHeight="1" thickBot="1" x14ac:dyDescent="0.35">
      <c r="A54" s="64" t="s">
        <v>16</v>
      </c>
      <c r="B54" s="66">
        <v>18.899999999999999</v>
      </c>
      <c r="C54" s="66">
        <v>164.7</v>
      </c>
      <c r="D54" s="65">
        <v>240</v>
      </c>
      <c r="E54" s="65">
        <v>3649.7</v>
      </c>
      <c r="F54" s="65">
        <v>37.700000000000003</v>
      </c>
      <c r="G54" s="65">
        <f>F54*ТАРИФЫ!F8/1000</f>
        <v>573.14556000000005</v>
      </c>
      <c r="H54" s="65">
        <v>993</v>
      </c>
      <c r="I54" s="65">
        <f>H54*ТАРИФЫ!F13/1000</f>
        <v>127.97784</v>
      </c>
      <c r="J54" s="65">
        <f>H54</f>
        <v>993</v>
      </c>
      <c r="K54" s="65">
        <v>160.9</v>
      </c>
      <c r="L54" s="65">
        <v>24.9</v>
      </c>
      <c r="M54" s="65">
        <f>L54*ТАРИФЫ!D29/1000</f>
        <v>13.358849999999999</v>
      </c>
      <c r="N54" s="65">
        <f>SUM(C54,E54,G54,I54,K54)+M54</f>
        <v>4689.7822499999984</v>
      </c>
      <c r="O54" s="48"/>
      <c r="P54" s="48"/>
    </row>
    <row r="55" spans="1:16" ht="20.100000000000001" customHeight="1" thickBot="1" x14ac:dyDescent="0.35">
      <c r="A55" s="64" t="s">
        <v>33</v>
      </c>
      <c r="B55" s="66">
        <v>17.532</v>
      </c>
      <c r="C55" s="66">
        <f>B55*ТАРИФЫ!G21</f>
        <v>187.24176</v>
      </c>
      <c r="D55" s="65">
        <v>135.69999999999999</v>
      </c>
      <c r="E55" s="65">
        <f>D55*ТАРИФЫ!G8/1000</f>
        <v>2576.7964439999996</v>
      </c>
      <c r="F55" s="65">
        <v>35.700000000000003</v>
      </c>
      <c r="G55" s="65">
        <f>F55*ТАРИФЫ!G8/1000</f>
        <v>677.90444400000001</v>
      </c>
      <c r="H55" s="65">
        <v>906</v>
      </c>
      <c r="I55" s="65">
        <f>H55*ТАРИФЫ!G13/1000</f>
        <v>147.96791999999999</v>
      </c>
      <c r="J55" s="65">
        <f>H55</f>
        <v>906</v>
      </c>
      <c r="K55" s="65">
        <f>J55*ТАРИФЫ!G19/1000</f>
        <v>130.35604103999998</v>
      </c>
      <c r="L55" s="65">
        <v>24.9</v>
      </c>
      <c r="M55" s="65">
        <f>L55*ТАРИФЫ!E29/1000</f>
        <v>14.245289999999999</v>
      </c>
      <c r="N55" s="65">
        <f>SUM(C55,E55,G55,I55,K55)+M55</f>
        <v>3734.5118990399992</v>
      </c>
      <c r="O55" s="48"/>
      <c r="P55" s="48"/>
    </row>
    <row r="56" spans="1:16" ht="81.75" customHeight="1" thickBot="1" x14ac:dyDescent="0.35">
      <c r="A56" s="67" t="s">
        <v>88</v>
      </c>
      <c r="B56" s="65">
        <f>B57+B58</f>
        <v>30.2</v>
      </c>
      <c r="C56" s="65">
        <f>C57+C58</f>
        <v>309.82</v>
      </c>
      <c r="D56" s="65">
        <f t="shared" ref="D56:J56" si="17">D57+D58</f>
        <v>492.9</v>
      </c>
      <c r="E56" s="65">
        <f>E57+E58+0.1</f>
        <v>10689.133552000001</v>
      </c>
      <c r="F56" s="65">
        <f t="shared" si="17"/>
        <v>0</v>
      </c>
      <c r="G56" s="65">
        <f t="shared" si="17"/>
        <v>0</v>
      </c>
      <c r="H56" s="65">
        <f t="shared" si="17"/>
        <v>575.09999999999991</v>
      </c>
      <c r="I56" s="65">
        <f>I57+I58-0.1</f>
        <v>37.477063999999991</v>
      </c>
      <c r="J56" s="65">
        <f t="shared" si="17"/>
        <v>575.09999999999991</v>
      </c>
      <c r="K56" s="65">
        <f>K57+K58</f>
        <v>80.734457399999997</v>
      </c>
      <c r="L56" s="65">
        <f>L57+L58</f>
        <v>13.8</v>
      </c>
      <c r="M56" s="65">
        <f>M57+M58</f>
        <v>7.6493400000000005</v>
      </c>
      <c r="N56" s="65">
        <f>SUM(C56,E56,G56,I56,K56)+M56-0.1</f>
        <v>11124.714413400001</v>
      </c>
      <c r="O56" s="48"/>
      <c r="P56" s="48"/>
    </row>
    <row r="57" spans="1:16" ht="20.100000000000001" customHeight="1" thickBot="1" x14ac:dyDescent="0.35">
      <c r="A57" s="64" t="s">
        <v>16</v>
      </c>
      <c r="B57" s="68">
        <v>6.2</v>
      </c>
      <c r="C57" s="66">
        <v>53.5</v>
      </c>
      <c r="D57" s="65">
        <v>318.39999999999998</v>
      </c>
      <c r="E57" s="66">
        <f>D57*ТАРИФЫ!F7/1000</f>
        <v>6360.0654720000002</v>
      </c>
      <c r="F57" s="65">
        <v>0</v>
      </c>
      <c r="G57" s="66">
        <v>0</v>
      </c>
      <c r="H57" s="65">
        <v>372.4</v>
      </c>
      <c r="I57" s="66">
        <f>H57*ТАРИФЫ!F12/1000</f>
        <v>19.528655999999998</v>
      </c>
      <c r="J57" s="65">
        <f>H57</f>
        <v>372.4</v>
      </c>
      <c r="K57" s="66">
        <f>J57*ТАРИФЫ!F17/1000</f>
        <v>51.391199999999998</v>
      </c>
      <c r="L57" s="65">
        <v>6.9</v>
      </c>
      <c r="M57" s="65">
        <f>L57*ТАРИФЫ!D28/1000</f>
        <v>3.7018500000000003</v>
      </c>
      <c r="N57" s="65">
        <f>SUM(C57,E57,G57,I57,K57)+M57</f>
        <v>6488.187178000001</v>
      </c>
      <c r="O57" s="48"/>
      <c r="P57" s="48"/>
    </row>
    <row r="58" spans="1:16" ht="20.100000000000001" customHeight="1" thickBot="1" x14ac:dyDescent="0.35">
      <c r="A58" s="64" t="s">
        <v>33</v>
      </c>
      <c r="B58" s="66">
        <v>24</v>
      </c>
      <c r="C58" s="66">
        <f>B58*ТАРИФЫ!G21</f>
        <v>256.32</v>
      </c>
      <c r="D58" s="65">
        <v>174.5</v>
      </c>
      <c r="E58" s="66">
        <f>D58*ТАРИФЫ!G7/1000</f>
        <v>4328.9680799999996</v>
      </c>
      <c r="F58" s="65">
        <v>0</v>
      </c>
      <c r="G58" s="66">
        <v>0</v>
      </c>
      <c r="H58" s="65">
        <v>202.7</v>
      </c>
      <c r="I58" s="66">
        <f>H58*ТАРИФЫ!G12/1000</f>
        <v>18.048407999999998</v>
      </c>
      <c r="J58" s="65">
        <f>H58</f>
        <v>202.7</v>
      </c>
      <c r="K58" s="66">
        <f>J58*ТАРИФЫ!G17/1000</f>
        <v>29.343257399999992</v>
      </c>
      <c r="L58" s="65">
        <v>6.9</v>
      </c>
      <c r="M58" s="65">
        <f>L58*ТАРИФЫ!E28/1000</f>
        <v>3.9474900000000002</v>
      </c>
      <c r="N58" s="65">
        <f>SUM(C58,E58,G58,I58,K58)+M58-0.1</f>
        <v>4636.5272353999981</v>
      </c>
      <c r="O58" s="48"/>
      <c r="P58" s="48"/>
    </row>
    <row r="59" spans="1:16" ht="87" customHeight="1" thickBot="1" x14ac:dyDescent="0.35">
      <c r="A59" s="64" t="s">
        <v>100</v>
      </c>
      <c r="B59" s="65">
        <f>B60+B61</f>
        <v>99.7</v>
      </c>
      <c r="C59" s="65">
        <f>C60+C61</f>
        <v>954.74800000000005</v>
      </c>
      <c r="D59" s="65">
        <f t="shared" ref="D59:J59" si="18">D60+D61</f>
        <v>824.90000000000009</v>
      </c>
      <c r="E59" s="65">
        <f>E60+E61-0.1</f>
        <v>8464.2559279999987</v>
      </c>
      <c r="F59" s="65">
        <f t="shared" si="18"/>
        <v>127.5</v>
      </c>
      <c r="G59" s="65">
        <f>G60+G61+0.1</f>
        <v>1311.4439919999998</v>
      </c>
      <c r="H59" s="65">
        <f t="shared" si="18"/>
        <v>4586.1000000000004</v>
      </c>
      <c r="I59" s="65">
        <f>I60+I61</f>
        <v>305.81144400000005</v>
      </c>
      <c r="J59" s="65">
        <f t="shared" si="18"/>
        <v>4586.1000000000004</v>
      </c>
      <c r="K59" s="65">
        <f>K60+K61</f>
        <v>561.08542799999998</v>
      </c>
      <c r="L59" s="65">
        <f t="shared" ref="L59" si="19">L60+L61</f>
        <v>197</v>
      </c>
      <c r="M59" s="65">
        <f>M60+M61</f>
        <v>109.19710000000001</v>
      </c>
      <c r="N59" s="65">
        <f>SUM(C59,E59,G59,I59,K59)+M59</f>
        <v>11706.541891999999</v>
      </c>
      <c r="O59" s="48"/>
      <c r="P59" s="48"/>
    </row>
    <row r="60" spans="1:16" ht="20.100000000000001" customHeight="1" thickBot="1" x14ac:dyDescent="0.35">
      <c r="A60" s="64" t="s">
        <v>16</v>
      </c>
      <c r="B60" s="66">
        <v>56.1</v>
      </c>
      <c r="C60" s="66">
        <v>489.1</v>
      </c>
      <c r="D60" s="65">
        <v>499.3</v>
      </c>
      <c r="E60" s="65">
        <f>D60*ТАРИФЫ!F5/1000</f>
        <v>4971.7098479999995</v>
      </c>
      <c r="F60" s="65">
        <v>73.2</v>
      </c>
      <c r="G60" s="65">
        <f>F60*ТАРИФЫ!F5/1000</f>
        <v>728.87875199999996</v>
      </c>
      <c r="H60" s="65">
        <v>2801.5</v>
      </c>
      <c r="I60" s="65">
        <f>H60*ТАРИФЫ!F10/1000</f>
        <v>146.91066000000001</v>
      </c>
      <c r="J60" s="65">
        <f>H60</f>
        <v>2801.5</v>
      </c>
      <c r="K60" s="65">
        <f>J60*ТАРИФЫ!F15/1000</f>
        <v>291.46805999999998</v>
      </c>
      <c r="L60" s="65">
        <v>98.5</v>
      </c>
      <c r="M60" s="65">
        <f>L60*ТАРИФЫ!D26/1000</f>
        <v>52.84525</v>
      </c>
      <c r="N60" s="65">
        <f>SUM(C60,E60,G60,I60,K60)+M60</f>
        <v>6680.9125699999995</v>
      </c>
      <c r="O60" s="48"/>
      <c r="P60" s="48"/>
    </row>
    <row r="61" spans="1:16" ht="20.100000000000001" customHeight="1" thickBot="1" x14ac:dyDescent="0.35">
      <c r="A61" s="64" t="s">
        <v>33</v>
      </c>
      <c r="B61" s="66">
        <v>43.6</v>
      </c>
      <c r="C61" s="66">
        <f>B61*ТАРИФЫ!G21</f>
        <v>465.64800000000002</v>
      </c>
      <c r="D61" s="65">
        <v>325.60000000000002</v>
      </c>
      <c r="E61" s="65">
        <f>D61*ТАРИФЫ!G5/1000</f>
        <v>3492.64608</v>
      </c>
      <c r="F61" s="65">
        <v>54.3</v>
      </c>
      <c r="G61" s="65">
        <f>F61*ТАРИФЫ!G5/1000</f>
        <v>582.46523999999988</v>
      </c>
      <c r="H61" s="65">
        <v>1784.6</v>
      </c>
      <c r="I61" s="65">
        <f>H61*ТАРИФЫ!G10/1000</f>
        <v>158.90078400000002</v>
      </c>
      <c r="J61" s="65">
        <f>H61</f>
        <v>1784.6</v>
      </c>
      <c r="K61" s="65">
        <f>J61*ТАРИФЫ!G15/1000</f>
        <v>269.617368</v>
      </c>
      <c r="L61" s="65">
        <v>98.5</v>
      </c>
      <c r="M61" s="65">
        <f>L61*ТАРИФЫ!E26/1000</f>
        <v>56.351850000000006</v>
      </c>
      <c r="N61" s="65">
        <f>SUM(C61,E61,G61,I61,K61)+M61</f>
        <v>5025.6293220000007</v>
      </c>
      <c r="O61" s="48"/>
      <c r="P61" s="48"/>
    </row>
    <row r="62" spans="1:16" ht="87" customHeight="1" thickBot="1" x14ac:dyDescent="0.35">
      <c r="A62" s="64" t="s">
        <v>85</v>
      </c>
      <c r="B62" s="65">
        <f>B63+B64</f>
        <v>58.69</v>
      </c>
      <c r="C62" s="65">
        <f>C63+C64</f>
        <v>573.77719999999999</v>
      </c>
      <c r="D62" s="65">
        <f t="shared" ref="D62:J62" si="20">D63+D64</f>
        <v>596.79999999999995</v>
      </c>
      <c r="E62" s="65">
        <f>E63+E64</f>
        <v>6168.1522559999994</v>
      </c>
      <c r="F62" s="65">
        <f t="shared" si="20"/>
        <v>69.099999999999994</v>
      </c>
      <c r="G62" s="65">
        <f>G63+G64</f>
        <v>736.75912800000003</v>
      </c>
      <c r="H62" s="65">
        <f t="shared" si="20"/>
        <v>2103.4</v>
      </c>
      <c r="I62" s="65">
        <f>I63+I64</f>
        <v>160.03437600000001</v>
      </c>
      <c r="J62" s="65">
        <f t="shared" si="20"/>
        <v>2103.4</v>
      </c>
      <c r="K62" s="65">
        <f>K63+K64</f>
        <v>282.75568800000002</v>
      </c>
      <c r="L62" s="65">
        <f t="shared" ref="L62:M62" si="21">L63+L64</f>
        <v>67.8</v>
      </c>
      <c r="M62" s="65">
        <f t="shared" si="21"/>
        <v>37.581539999999997</v>
      </c>
      <c r="N62" s="65">
        <f>SUM(C62,E62,G62,I62,K62)+M62+0.1</f>
        <v>7959.1601879999998</v>
      </c>
      <c r="O62" s="48"/>
      <c r="P62" s="48"/>
    </row>
    <row r="63" spans="1:16" ht="20.100000000000001" customHeight="1" thickBot="1" x14ac:dyDescent="0.35">
      <c r="A63" s="64" t="s">
        <v>16</v>
      </c>
      <c r="B63" s="66">
        <v>24.9</v>
      </c>
      <c r="C63" s="66">
        <v>212.9</v>
      </c>
      <c r="D63" s="65">
        <v>303.60000000000002</v>
      </c>
      <c r="E63" s="65">
        <f>D63*ТАРИФЫ!F5/1000</f>
        <v>3023.0544959999997</v>
      </c>
      <c r="F63" s="65">
        <v>5.8</v>
      </c>
      <c r="G63" s="65">
        <f>F63*ТАРИФЫ!F5/1000</f>
        <v>57.752687999999992</v>
      </c>
      <c r="H63" s="65">
        <v>744.6</v>
      </c>
      <c r="I63" s="65">
        <f>H63*ТАРИФЫ!F10/1000</f>
        <v>39.046824000000008</v>
      </c>
      <c r="J63" s="65">
        <f>H63</f>
        <v>744.6</v>
      </c>
      <c r="K63" s="65">
        <f>J63*ТАРИФЫ!F15/1000</f>
        <v>77.468184000000008</v>
      </c>
      <c r="L63" s="65">
        <v>33.9</v>
      </c>
      <c r="M63" s="65">
        <f>L63*ТАРИФЫ!D26/1000</f>
        <v>18.187349999999999</v>
      </c>
      <c r="N63" s="65">
        <f>SUM(C63,E63,G63,I63,K63)+M63+0.1</f>
        <v>3428.5095419999998</v>
      </c>
      <c r="O63" s="48"/>
      <c r="P63" s="48"/>
    </row>
    <row r="64" spans="1:16" ht="20.100000000000001" customHeight="1" thickBot="1" x14ac:dyDescent="0.35">
      <c r="A64" s="64" t="s">
        <v>33</v>
      </c>
      <c r="B64" s="66">
        <v>33.79</v>
      </c>
      <c r="C64" s="66">
        <f>B64*ТАРИФЫ!G21</f>
        <v>360.87719999999996</v>
      </c>
      <c r="D64" s="65">
        <v>293.2</v>
      </c>
      <c r="E64" s="65">
        <f>D64*ТАРИФЫ!G5/1000</f>
        <v>3145.0977599999997</v>
      </c>
      <c r="F64" s="65">
        <v>63.3</v>
      </c>
      <c r="G64" s="65">
        <f>F64*ТАРИФЫ!G5/1000</f>
        <v>679.00644</v>
      </c>
      <c r="H64" s="65">
        <v>1358.8</v>
      </c>
      <c r="I64" s="65">
        <f>H64*ТАРИФЫ!G10/1000</f>
        <v>120.98755200000001</v>
      </c>
      <c r="J64" s="65">
        <f>H64</f>
        <v>1358.8</v>
      </c>
      <c r="K64" s="65">
        <f>J64*ТАРИФЫ!G15/1000</f>
        <v>205.28750400000001</v>
      </c>
      <c r="L64" s="65">
        <v>33.9</v>
      </c>
      <c r="M64" s="65">
        <f>L64*ТАРИФЫ!E26/1000</f>
        <v>19.394189999999998</v>
      </c>
      <c r="N64" s="65">
        <f>SUM(C64,E64,G64,I64,K64)+M64</f>
        <v>4530.6506459999991</v>
      </c>
      <c r="O64" s="48"/>
      <c r="P64" s="48"/>
    </row>
    <row r="65" spans="1:16" ht="90.75" customHeight="1" thickBot="1" x14ac:dyDescent="0.35">
      <c r="A65" s="64" t="s">
        <v>87</v>
      </c>
      <c r="B65" s="65">
        <f>B66+B67</f>
        <v>56.1</v>
      </c>
      <c r="C65" s="65">
        <f>C66+C67</f>
        <v>551.28800000000001</v>
      </c>
      <c r="D65" s="65">
        <f t="shared" ref="D65:J65" si="22">D66+D67</f>
        <v>883.9</v>
      </c>
      <c r="E65" s="65">
        <f t="shared" si="22"/>
        <v>14762.518307999999</v>
      </c>
      <c r="F65" s="65">
        <f t="shared" si="22"/>
        <v>45.2</v>
      </c>
      <c r="G65" s="65">
        <f>G66+G67</f>
        <v>765.91785599999992</v>
      </c>
      <c r="H65" s="65">
        <f t="shared" si="22"/>
        <v>1592.7</v>
      </c>
      <c r="I65" s="65">
        <f>I66+I67-0.1</f>
        <v>237.56488400000003</v>
      </c>
      <c r="J65" s="65">
        <f t="shared" si="22"/>
        <v>1991.7</v>
      </c>
      <c r="K65" s="65">
        <f>K66+K67</f>
        <v>279.50386618799996</v>
      </c>
      <c r="L65" s="65">
        <f>L66+L67</f>
        <v>49.8</v>
      </c>
      <c r="M65" s="65">
        <f>M66+M67</f>
        <v>43.158850000000001</v>
      </c>
      <c r="N65" s="65">
        <f>SUM(C65,E65,G65,I65,K65)+M65</f>
        <v>16639.951764187997</v>
      </c>
      <c r="O65" s="48"/>
      <c r="P65" s="48"/>
    </row>
    <row r="66" spans="1:16" ht="20.100000000000001" customHeight="1" thickBot="1" x14ac:dyDescent="0.35">
      <c r="A66" s="64" t="s">
        <v>16</v>
      </c>
      <c r="B66" s="66">
        <v>24.5</v>
      </c>
      <c r="C66" s="66">
        <v>213.8</v>
      </c>
      <c r="D66" s="65">
        <v>534</v>
      </c>
      <c r="E66" s="65">
        <f>D66*ТАРИФЫ!F8/1000</f>
        <v>8118.2951999999996</v>
      </c>
      <c r="F66" s="65">
        <v>24.4</v>
      </c>
      <c r="G66" s="65">
        <f>F66*ТАРИФЫ!F8/1000</f>
        <v>370.94831999999997</v>
      </c>
      <c r="H66" s="65">
        <v>652</v>
      </c>
      <c r="I66" s="65">
        <f>H66*ТАРИФЫ!F13/1000</f>
        <v>84.029759999999996</v>
      </c>
      <c r="J66" s="65">
        <v>1051</v>
      </c>
      <c r="K66" s="65">
        <f>J66*ТАРИФЫ!F19/1000</f>
        <v>144.15516</v>
      </c>
      <c r="L66" s="65">
        <v>24.9</v>
      </c>
      <c r="M66" s="65">
        <f>L66*ТАРИФЫ!D29/1000</f>
        <v>13.358849999999999</v>
      </c>
      <c r="N66" s="65">
        <f>SUM(C66,E66,G66,I66,K66)+M66</f>
        <v>8944.5872899999995</v>
      </c>
      <c r="O66" s="48"/>
      <c r="P66" s="48"/>
    </row>
    <row r="67" spans="1:16" ht="20.100000000000001" customHeight="1" thickBot="1" x14ac:dyDescent="0.35">
      <c r="A67" s="64" t="s">
        <v>33</v>
      </c>
      <c r="B67" s="66">
        <v>31.6</v>
      </c>
      <c r="C67" s="66">
        <f>B67*ТАРИФЫ!G21</f>
        <v>337.488</v>
      </c>
      <c r="D67" s="65">
        <v>349.9</v>
      </c>
      <c r="E67" s="65">
        <f>D67*ТАРИФЫ!G8/1000</f>
        <v>6644.2231079999992</v>
      </c>
      <c r="F67" s="65">
        <v>20.8</v>
      </c>
      <c r="G67" s="65">
        <f>F67*ТАРИФЫ!G8/1000</f>
        <v>394.96953599999995</v>
      </c>
      <c r="H67" s="65">
        <v>940.7</v>
      </c>
      <c r="I67" s="65">
        <f>H67*ТАРИФЫ!G13/1000</f>
        <v>153.63512400000002</v>
      </c>
      <c r="J67" s="65">
        <f>H67</f>
        <v>940.7</v>
      </c>
      <c r="K67" s="65">
        <f>J67*ТАРИФЫ!G19/1000</f>
        <v>135.34870618799999</v>
      </c>
      <c r="L67" s="65">
        <v>24.9</v>
      </c>
      <c r="M67" s="65">
        <v>29.8</v>
      </c>
      <c r="N67" s="65">
        <f>SUM(C67,E67,G67,I67,K67)+M67-0.1</f>
        <v>7695.3644741879989</v>
      </c>
      <c r="O67" s="48"/>
      <c r="P67" s="48"/>
    </row>
    <row r="68" spans="1:16" ht="88.5" customHeight="1" thickBot="1" x14ac:dyDescent="0.35">
      <c r="A68" s="64" t="s">
        <v>86</v>
      </c>
      <c r="B68" s="65">
        <f>B69+B70</f>
        <v>81.63</v>
      </c>
      <c r="C68" s="65">
        <f>C69+C70</f>
        <v>766.92439999999999</v>
      </c>
      <c r="D68" s="65">
        <f t="shared" ref="D68:J68" si="23">D69+D70</f>
        <v>557.29999999999995</v>
      </c>
      <c r="E68" s="65">
        <f>E69+E70-0.1</f>
        <v>12831.558223999999</v>
      </c>
      <c r="F68" s="65">
        <f t="shared" si="23"/>
        <v>0</v>
      </c>
      <c r="G68" s="65">
        <f t="shared" si="23"/>
        <v>0</v>
      </c>
      <c r="H68" s="65">
        <f t="shared" si="23"/>
        <v>87.1</v>
      </c>
      <c r="I68" s="65">
        <f>I69+I70-0.1</f>
        <v>9.3615559999999984</v>
      </c>
      <c r="J68" s="65">
        <f t="shared" si="23"/>
        <v>87.1</v>
      </c>
      <c r="K68" s="65">
        <f>K69+K70</f>
        <v>3.0200880000000003</v>
      </c>
      <c r="L68" s="65">
        <f>L69+L70</f>
        <v>30</v>
      </c>
      <c r="M68" s="65">
        <f>M69+M70</f>
        <v>18.345299999999998</v>
      </c>
      <c r="N68" s="65">
        <f>SUM(C68,E68,G68,I68,K68)+M68+0.1</f>
        <v>13629.309567999999</v>
      </c>
      <c r="O68" s="48"/>
      <c r="P68" s="48"/>
    </row>
    <row r="69" spans="1:16" ht="20.100000000000001" customHeight="1" thickBot="1" x14ac:dyDescent="0.35">
      <c r="A69" s="64" t="s">
        <v>16</v>
      </c>
      <c r="B69" s="66">
        <v>58.8</v>
      </c>
      <c r="C69" s="66">
        <v>523.1</v>
      </c>
      <c r="D69" s="65">
        <v>321.39999999999998</v>
      </c>
      <c r="E69" s="65">
        <f>D69*ТАРИФЫ!F6/1000</f>
        <v>6709.7135279999984</v>
      </c>
      <c r="F69" s="65">
        <v>0</v>
      </c>
      <c r="G69" s="66">
        <v>0</v>
      </c>
      <c r="H69" s="65">
        <v>43.8</v>
      </c>
      <c r="I69" s="65">
        <f>H69*ТАРИФЫ!F11/1000</f>
        <v>4.5201599999999997</v>
      </c>
      <c r="J69" s="65">
        <f>H69</f>
        <v>43.8</v>
      </c>
      <c r="K69" s="65">
        <f>J69*ТАРИФЫ!F16/1000</f>
        <v>1.4716800000000001</v>
      </c>
      <c r="L69" s="65">
        <v>15</v>
      </c>
      <c r="M69" s="65">
        <f>L69*ТАРИФЫ!D27/1000</f>
        <v>8.0474999999999994</v>
      </c>
      <c r="N69" s="65">
        <f>SUM(C69,E69,G69,I69,K69)+M69-0.1</f>
        <v>7246.7528679999978</v>
      </c>
      <c r="O69" s="48"/>
      <c r="P69" s="48"/>
    </row>
    <row r="70" spans="1:16" ht="20.100000000000001" customHeight="1" thickBot="1" x14ac:dyDescent="0.35">
      <c r="A70" s="64" t="s">
        <v>33</v>
      </c>
      <c r="B70" s="66">
        <v>22.83</v>
      </c>
      <c r="C70" s="66">
        <f>B70*ТАРИФЫ!G22</f>
        <v>243.82439999999997</v>
      </c>
      <c r="D70" s="65">
        <v>235.9</v>
      </c>
      <c r="E70" s="65">
        <f>D70*ТАРИФЫ!G6/1000</f>
        <v>6121.9446959999996</v>
      </c>
      <c r="F70" s="65">
        <v>0</v>
      </c>
      <c r="G70" s="66">
        <v>0</v>
      </c>
      <c r="H70" s="65">
        <v>43.3</v>
      </c>
      <c r="I70" s="65">
        <f>H70*ТАРИФЫ!G11/1000</f>
        <v>4.9413959999999992</v>
      </c>
      <c r="J70" s="65">
        <f>H70</f>
        <v>43.3</v>
      </c>
      <c r="K70" s="65">
        <f>J70*ТАРИФЫ!G16/1000</f>
        <v>1.548408</v>
      </c>
      <c r="L70" s="65">
        <v>15</v>
      </c>
      <c r="M70" s="65">
        <f>L70*ТАРИФЫ!G27/1000</f>
        <v>10.297799999999999</v>
      </c>
      <c r="N70" s="65">
        <f>SUM(C70,E70,G70,I70,K70)+M70-0.1</f>
        <v>6382.4566999999997</v>
      </c>
      <c r="O70" s="48"/>
      <c r="P70" s="48"/>
    </row>
    <row r="71" spans="1:16" ht="88.5" customHeight="1" thickBot="1" x14ac:dyDescent="0.35">
      <c r="A71" s="64" t="s">
        <v>91</v>
      </c>
      <c r="B71" s="65">
        <f>B72+B73</f>
        <v>18.149999999999999</v>
      </c>
      <c r="C71" s="65">
        <f t="shared" ref="C71:J71" si="24">C72+C73</f>
        <v>179.51400000000001</v>
      </c>
      <c r="D71" s="65">
        <f t="shared" si="24"/>
        <v>476.5</v>
      </c>
      <c r="E71" s="65">
        <f>E72+E73</f>
        <v>4855.6352879999995</v>
      </c>
      <c r="F71" s="65">
        <f t="shared" si="24"/>
        <v>3.1999999999999997</v>
      </c>
      <c r="G71" s="65">
        <f t="shared" si="24"/>
        <v>34.017983999999998</v>
      </c>
      <c r="H71" s="65">
        <f t="shared" si="24"/>
        <v>155.30000000000001</v>
      </c>
      <c r="I71" s="65">
        <f t="shared" si="24"/>
        <v>11.145132</v>
      </c>
      <c r="J71" s="65">
        <f t="shared" si="24"/>
        <v>155.30000000000001</v>
      </c>
      <c r="K71" s="65">
        <f>K72+K73</f>
        <v>20.014692000000004</v>
      </c>
      <c r="L71" s="65">
        <f>L72+L73</f>
        <v>35.799999999999997</v>
      </c>
      <c r="M71" s="65">
        <f>M72+M73</f>
        <v>19.84394</v>
      </c>
      <c r="N71" s="65">
        <f>SUM(C71,E71,G71,I71,K71)+M71-0.2</f>
        <v>5119.971035999999</v>
      </c>
      <c r="O71" s="48"/>
      <c r="P71" s="48"/>
    </row>
    <row r="72" spans="1:16" ht="20.100000000000001" customHeight="1" thickBot="1" x14ac:dyDescent="0.35">
      <c r="A72" s="64" t="s">
        <v>16</v>
      </c>
      <c r="B72" s="66">
        <v>7.1</v>
      </c>
      <c r="C72" s="66">
        <v>61.5</v>
      </c>
      <c r="D72" s="65">
        <v>332.3</v>
      </c>
      <c r="E72" s="65">
        <f>D72*ТАРИФЫ!F5/1000</f>
        <v>3308.8307279999995</v>
      </c>
      <c r="F72" s="65">
        <v>0.4</v>
      </c>
      <c r="G72" s="65">
        <f>F72*ТАРИФЫ!F5/1000</f>
        <v>3.9829439999999994</v>
      </c>
      <c r="H72" s="65">
        <v>73.3</v>
      </c>
      <c r="I72" s="65">
        <f>H72*ТАРИФЫ!F10/1000</f>
        <v>3.8438520000000005</v>
      </c>
      <c r="J72" s="65">
        <f>H72</f>
        <v>73.3</v>
      </c>
      <c r="K72" s="65">
        <f>J72*ТАРИФЫ!F15/1000</f>
        <v>7.6261320000000001</v>
      </c>
      <c r="L72" s="65">
        <v>17.899999999999999</v>
      </c>
      <c r="M72" s="65">
        <f>L72*ТАРИФЫ!D26/1000</f>
        <v>9.6033499999999989</v>
      </c>
      <c r="N72" s="65">
        <f>SUM(C72,E72,G72,I72,K72)+M72-0.1</f>
        <v>3395.2870059999991</v>
      </c>
      <c r="O72" s="48"/>
      <c r="P72" s="48"/>
    </row>
    <row r="73" spans="1:16" ht="20.100000000000001" customHeight="1" thickBot="1" x14ac:dyDescent="0.35">
      <c r="A73" s="64" t="s">
        <v>33</v>
      </c>
      <c r="B73" s="66">
        <v>11.05</v>
      </c>
      <c r="C73" s="66">
        <f>B73*ТАРИФЫ!G21</f>
        <v>118.01400000000001</v>
      </c>
      <c r="D73" s="65">
        <v>144.19999999999999</v>
      </c>
      <c r="E73" s="65">
        <f>D73*ТАРИФЫ!G5/1000</f>
        <v>1546.8045599999998</v>
      </c>
      <c r="F73" s="65">
        <v>2.8</v>
      </c>
      <c r="G73" s="65">
        <f>F73*ТАРИФЫ!G5/1000</f>
        <v>30.035039999999999</v>
      </c>
      <c r="H73" s="65">
        <v>82</v>
      </c>
      <c r="I73" s="65">
        <f>H73*ТАРИФЫ!G10/1000</f>
        <v>7.3012800000000002</v>
      </c>
      <c r="J73" s="65">
        <f>H73</f>
        <v>82</v>
      </c>
      <c r="K73" s="65">
        <f>J73*ТАРИФЫ!G15/1000</f>
        <v>12.388560000000002</v>
      </c>
      <c r="L73" s="65">
        <v>17.899999999999999</v>
      </c>
      <c r="M73" s="65">
        <f>L73*ТАРИФЫ!E26/1000</f>
        <v>10.240590000000001</v>
      </c>
      <c r="N73" s="65">
        <f>SUM(C73,E73,G73,I73,K73)+M73-0.1</f>
        <v>1724.6840299999999</v>
      </c>
      <c r="O73" s="48"/>
      <c r="P73" s="48"/>
    </row>
    <row r="74" spans="1:16" ht="45" customHeight="1" thickBot="1" x14ac:dyDescent="0.35">
      <c r="A74" s="72" t="s">
        <v>66</v>
      </c>
      <c r="B74" s="65">
        <f>B75+B76</f>
        <v>541.10200000000009</v>
      </c>
      <c r="C74" s="65">
        <f>C75+C76</f>
        <v>5246.9133600000005</v>
      </c>
      <c r="D74" s="65">
        <f t="shared" ref="D74:M74" si="25">D75+D76</f>
        <v>5153.1000000000004</v>
      </c>
      <c r="E74" s="65">
        <f>E75+E76</f>
        <v>73621.301095999996</v>
      </c>
      <c r="F74" s="65">
        <f t="shared" si="25"/>
        <v>416.40000000000009</v>
      </c>
      <c r="G74" s="65">
        <f t="shared" si="25"/>
        <v>5100.532596</v>
      </c>
      <c r="H74" s="65">
        <f t="shared" si="25"/>
        <v>15440.800000000001</v>
      </c>
      <c r="I74" s="65">
        <f>I75+I76</f>
        <v>1341.3574800000001</v>
      </c>
      <c r="J74" s="65">
        <f t="shared" si="25"/>
        <v>15839.8</v>
      </c>
      <c r="K74" s="65">
        <f>K75+K76</f>
        <v>2071.8733206280003</v>
      </c>
      <c r="L74" s="65">
        <f t="shared" si="25"/>
        <v>584</v>
      </c>
      <c r="M74" s="65">
        <f t="shared" si="25"/>
        <v>340.88220999999999</v>
      </c>
      <c r="N74" s="65">
        <f>N75+N76</f>
        <v>87722.960062628001</v>
      </c>
      <c r="O74" s="48"/>
      <c r="P74" s="48"/>
    </row>
    <row r="75" spans="1:16" ht="28.5" customHeight="1" thickBot="1" x14ac:dyDescent="0.35">
      <c r="A75" s="64" t="s">
        <v>16</v>
      </c>
      <c r="B75" s="66">
        <f>B51+B54+B57+B60+B63+B66+B69+B72</f>
        <v>274.20000000000005</v>
      </c>
      <c r="C75" s="66">
        <f>C72+C69+C66+C63+C60+C57+C54+C51</f>
        <v>2396.5</v>
      </c>
      <c r="D75" s="66">
        <f t="shared" ref="D75:J75" si="26">D51+D54+D57+D60+D63+D66+D69+D72</f>
        <v>3217.6000000000004</v>
      </c>
      <c r="E75" s="66">
        <f>E51+E54+E57+E60+E63+E66+E69+E72</f>
        <v>42798.860167999999</v>
      </c>
      <c r="F75" s="66">
        <f t="shared" si="26"/>
        <v>206.20000000000005</v>
      </c>
      <c r="G75" s="66">
        <f>G51+G54+G57+G60+G63+G66+G69+G72</f>
        <v>2378.9494559999998</v>
      </c>
      <c r="H75" s="66">
        <f t="shared" si="26"/>
        <v>8180.8000000000011</v>
      </c>
      <c r="I75" s="66">
        <f>I51+I54+I57+I60+I63+I66+I69+I72-0.2</f>
        <v>556.76823999999999</v>
      </c>
      <c r="J75" s="66">
        <f t="shared" si="26"/>
        <v>8579.7999999999993</v>
      </c>
      <c r="K75" s="66">
        <f>K51+K54+K57+K60+K63+K66+K69+K72+0.1</f>
        <v>994.70122400000002</v>
      </c>
      <c r="L75" s="66">
        <f>L51+L54+L57+L60+L63+L66+L69+L72</f>
        <v>292</v>
      </c>
      <c r="M75" s="66">
        <f>M51+M54+M57+M60+M63+M66+M69+M72</f>
        <v>156.65799999999999</v>
      </c>
      <c r="N75" s="65">
        <f>SUM(C75,E75,G75,I75,K75)+M75+0.1</f>
        <v>49282.537087999997</v>
      </c>
      <c r="O75" s="48"/>
      <c r="P75" s="48"/>
    </row>
    <row r="76" spans="1:16" ht="28.5" customHeight="1" thickBot="1" x14ac:dyDescent="0.35">
      <c r="A76" s="64" t="s">
        <v>33</v>
      </c>
      <c r="B76" s="66">
        <f>B52+B55+B58+B61+B64+B67+B70+B73</f>
        <v>266.90199999999999</v>
      </c>
      <c r="C76" s="66">
        <f>C52+C55+C58+C61+C64+C67+C70+C73-0.1</f>
        <v>2850.41336</v>
      </c>
      <c r="D76" s="66">
        <f t="shared" ref="D76:J76" si="27">D52+D55+D58+D61+D64+D67+D70+D73</f>
        <v>1935.5000000000002</v>
      </c>
      <c r="E76" s="66">
        <f>E52+E55+E58+E61+E64+E67+E70+E73</f>
        <v>30822.440927999996</v>
      </c>
      <c r="F76" s="66">
        <f t="shared" si="27"/>
        <v>210.20000000000002</v>
      </c>
      <c r="G76" s="66">
        <f>G52+G55+G58+G61+G64+G67+G70+G73</f>
        <v>2721.5831400000002</v>
      </c>
      <c r="H76" s="66">
        <f t="shared" si="27"/>
        <v>7260</v>
      </c>
      <c r="I76" s="66">
        <f>I52+I55+I58+I61+I64+I67+I70+I73-0.1</f>
        <v>784.58924000000013</v>
      </c>
      <c r="J76" s="66">
        <f t="shared" si="27"/>
        <v>7260</v>
      </c>
      <c r="K76" s="66">
        <f>K52+K55+K58+K61+K64+K67+K70+K73-0.1</f>
        <v>1077.1720966280002</v>
      </c>
      <c r="L76" s="66">
        <f>L52+L55+L58+L61+L64+L67+L70+L73</f>
        <v>292</v>
      </c>
      <c r="M76" s="66">
        <f>M52+M55+M58+M61+M64+M67+M70+M73-0.1</f>
        <v>184.22421000000003</v>
      </c>
      <c r="N76" s="65">
        <f>SUM(C76,E76,G76,I76,K76)+M76</f>
        <v>38440.422974627996</v>
      </c>
      <c r="O76" s="48"/>
      <c r="P76" s="48"/>
    </row>
    <row r="77" spans="1:16" ht="25.5" customHeight="1" thickBot="1" x14ac:dyDescent="0.35">
      <c r="A77" s="82" t="s">
        <v>69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7"/>
      <c r="O77" s="48"/>
      <c r="P77" s="48"/>
    </row>
    <row r="78" spans="1:16" ht="117.75" customHeight="1" thickBot="1" x14ac:dyDescent="0.35">
      <c r="A78" s="64" t="s">
        <v>92</v>
      </c>
      <c r="B78" s="65">
        <f>B79+B80</f>
        <v>31</v>
      </c>
      <c r="C78" s="65">
        <f>C79+C80</f>
        <v>303.38400000000001</v>
      </c>
      <c r="D78" s="65">
        <f t="shared" ref="D78:M78" si="28">D79+D80</f>
        <v>315.39999999999998</v>
      </c>
      <c r="E78" s="65">
        <f>E79+E80-0.1</f>
        <v>3221.5503199999998</v>
      </c>
      <c r="F78" s="65">
        <f t="shared" si="28"/>
        <v>5.2</v>
      </c>
      <c r="G78" s="65">
        <f>G79+G80</f>
        <v>53.701871999999995</v>
      </c>
      <c r="H78" s="65">
        <f t="shared" si="28"/>
        <v>383.29999999999995</v>
      </c>
      <c r="I78" s="65">
        <f t="shared" si="28"/>
        <v>26.088012000000003</v>
      </c>
      <c r="J78" s="65">
        <f t="shared" si="28"/>
        <v>383.29999999999995</v>
      </c>
      <c r="K78" s="65">
        <f t="shared" si="28"/>
        <v>47.574275999999998</v>
      </c>
      <c r="L78" s="65">
        <f t="shared" si="28"/>
        <v>42.6</v>
      </c>
      <c r="M78" s="65">
        <f t="shared" si="28"/>
        <v>23.61318</v>
      </c>
      <c r="N78" s="65">
        <f>SUM(C78,E78,G78,I78,K78)+M78+0.1</f>
        <v>3676.0116599999997</v>
      </c>
      <c r="O78" s="48"/>
      <c r="P78" s="48"/>
    </row>
    <row r="79" spans="1:16" ht="20.25" customHeight="1" thickBot="1" x14ac:dyDescent="0.35">
      <c r="A79" s="64" t="s">
        <v>16</v>
      </c>
      <c r="B79" s="66">
        <v>17.2</v>
      </c>
      <c r="C79" s="66">
        <v>156</v>
      </c>
      <c r="D79" s="65">
        <v>210</v>
      </c>
      <c r="E79" s="65">
        <f>D79*ТАРИФЫ!F5/1000</f>
        <v>2091.0455999999995</v>
      </c>
      <c r="F79" s="65">
        <v>2.7</v>
      </c>
      <c r="G79" s="65">
        <f>F79*ТАРИФЫ!F5/1000</f>
        <v>26.884871999999998</v>
      </c>
      <c r="H79" s="65">
        <v>219.7</v>
      </c>
      <c r="I79" s="65">
        <f>H79*ТАРИФЫ!F10/1000</f>
        <v>11.521068000000001</v>
      </c>
      <c r="J79" s="65">
        <f>H79</f>
        <v>219.7</v>
      </c>
      <c r="K79" s="65">
        <f>J79*ТАРИФЫ!F15/1000</f>
        <v>22.857588</v>
      </c>
      <c r="L79" s="65">
        <v>21.3</v>
      </c>
      <c r="M79" s="65">
        <f>L79*ТАРИФЫ!D26/1000</f>
        <v>11.42745</v>
      </c>
      <c r="N79" s="65">
        <f t="shared" ref="N79:N84" si="29">SUM(C79,E79,G79,I79,K79)+M79</f>
        <v>2319.7365779999996</v>
      </c>
      <c r="O79" s="48"/>
      <c r="P79" s="48"/>
    </row>
    <row r="80" spans="1:16" ht="20.25" customHeight="1" thickBot="1" x14ac:dyDescent="0.35">
      <c r="A80" s="64" t="s">
        <v>33</v>
      </c>
      <c r="B80" s="66">
        <v>13.8</v>
      </c>
      <c r="C80" s="66">
        <f>B80*ТАРИФЫ!G21</f>
        <v>147.38400000000001</v>
      </c>
      <c r="D80" s="65">
        <v>105.4</v>
      </c>
      <c r="E80" s="65">
        <f>D80*ТАРИФЫ!G5/1000</f>
        <v>1130.60472</v>
      </c>
      <c r="F80" s="65">
        <v>2.5</v>
      </c>
      <c r="G80" s="65">
        <f>F80*ТАРИФЫ!G5/1000</f>
        <v>26.817</v>
      </c>
      <c r="H80" s="65">
        <v>163.6</v>
      </c>
      <c r="I80" s="65">
        <f>H80*ТАРИФЫ!G10/1000</f>
        <v>14.566944000000001</v>
      </c>
      <c r="J80" s="65">
        <f>H80</f>
        <v>163.6</v>
      </c>
      <c r="K80" s="65">
        <f>J80*ТАРИФЫ!G15/1000</f>
        <v>24.716688000000001</v>
      </c>
      <c r="L80" s="65">
        <v>21.3</v>
      </c>
      <c r="M80" s="65">
        <f>L80*ТАРИФЫ!E26/1000</f>
        <v>12.185730000000001</v>
      </c>
      <c r="N80" s="65">
        <f>SUM(C80,E80,G80,I80,K80)+M80</f>
        <v>1356.2750819999999</v>
      </c>
      <c r="O80" s="48"/>
      <c r="P80" s="48"/>
    </row>
    <row r="81" spans="1:16" ht="88.5" customHeight="1" thickBot="1" x14ac:dyDescent="0.35">
      <c r="A81" s="64" t="s">
        <v>93</v>
      </c>
      <c r="B81" s="65">
        <f>B82+B83</f>
        <v>32.799999999999997</v>
      </c>
      <c r="C81" s="65">
        <f>C82+C83</f>
        <v>317.11200000000002</v>
      </c>
      <c r="D81" s="65">
        <f t="shared" ref="D81:J81" si="30">D82+D83</f>
        <v>135</v>
      </c>
      <c r="E81" s="65">
        <f>E82+E83+0.1</f>
        <v>2235.7262079999996</v>
      </c>
      <c r="F81" s="65">
        <f t="shared" si="30"/>
        <v>0</v>
      </c>
      <c r="G81" s="65">
        <f t="shared" si="30"/>
        <v>0</v>
      </c>
      <c r="H81" s="65">
        <f t="shared" si="30"/>
        <v>457.6</v>
      </c>
      <c r="I81" s="65">
        <f>I82+I83</f>
        <v>66.776147999999992</v>
      </c>
      <c r="J81" s="65">
        <f t="shared" si="30"/>
        <v>457.6</v>
      </c>
      <c r="K81" s="65">
        <f>K82+K83</f>
        <v>64.286686259999996</v>
      </c>
      <c r="L81" s="65">
        <f t="shared" ref="L81" si="31">L82+L83</f>
        <v>27.599999999999998</v>
      </c>
      <c r="M81" s="65">
        <f>M82+M83-0.1</f>
        <v>15.362439999999998</v>
      </c>
      <c r="N81" s="65">
        <f t="shared" si="29"/>
        <v>2699.2634822599994</v>
      </c>
      <c r="O81" s="48"/>
      <c r="P81" s="48"/>
    </row>
    <row r="82" spans="1:16" ht="20.100000000000001" customHeight="1" thickBot="1" x14ac:dyDescent="0.35">
      <c r="A82" s="64" t="s">
        <v>16</v>
      </c>
      <c r="B82" s="66">
        <v>16.899999999999999</v>
      </c>
      <c r="C82" s="66">
        <v>147.30000000000001</v>
      </c>
      <c r="D82" s="65">
        <v>86.6</v>
      </c>
      <c r="E82" s="65">
        <f>D82*ТАРИФЫ!F8/1000</f>
        <v>1316.5624799999998</v>
      </c>
      <c r="F82" s="65">
        <v>0</v>
      </c>
      <c r="G82" s="65">
        <f>F82*ТАРИФЫ!F8/1000</f>
        <v>0</v>
      </c>
      <c r="H82" s="65">
        <v>231.1</v>
      </c>
      <c r="I82" s="65">
        <f>H82*ТАРИФЫ!F13/1000</f>
        <v>29.784167999999998</v>
      </c>
      <c r="J82" s="65">
        <f>H82</f>
        <v>231.1</v>
      </c>
      <c r="K82" s="65">
        <f>J82*ТАРИФЫ!F19/1000</f>
        <v>31.697675999999998</v>
      </c>
      <c r="L82" s="65">
        <v>9.1999999999999993</v>
      </c>
      <c r="M82" s="65">
        <f>L82*ТАРИФЫ!D26/1000</f>
        <v>4.9357999999999995</v>
      </c>
      <c r="N82" s="65">
        <f t="shared" si="29"/>
        <v>1530.2801239999997</v>
      </c>
      <c r="O82" s="48"/>
      <c r="P82" s="48"/>
    </row>
    <row r="83" spans="1:16" ht="20.100000000000001" customHeight="1" thickBot="1" x14ac:dyDescent="0.35">
      <c r="A83" s="64" t="s">
        <v>33</v>
      </c>
      <c r="B83" s="66">
        <v>15.9</v>
      </c>
      <c r="C83" s="66">
        <f>B83*ТАРИФЫ!G21</f>
        <v>169.81200000000001</v>
      </c>
      <c r="D83" s="65">
        <v>48.4</v>
      </c>
      <c r="E83" s="65">
        <f>D83*ТАРИФЫ!G8/1000</f>
        <v>919.06372799999986</v>
      </c>
      <c r="F83" s="65">
        <v>0</v>
      </c>
      <c r="G83" s="65">
        <f>F83*ТАРИФЫ!G8/1000</f>
        <v>0</v>
      </c>
      <c r="H83" s="65">
        <v>226.5</v>
      </c>
      <c r="I83" s="65">
        <f>H83*ТАРИФЫ!G13/1000</f>
        <v>36.991979999999998</v>
      </c>
      <c r="J83" s="65">
        <f>H83</f>
        <v>226.5</v>
      </c>
      <c r="K83" s="65">
        <f>J83*ТАРИФЫ!G19/1000</f>
        <v>32.589010259999995</v>
      </c>
      <c r="L83" s="65">
        <v>18.399999999999999</v>
      </c>
      <c r="M83" s="65">
        <f>L83*ТАРИФЫ!E26/1000</f>
        <v>10.526639999999999</v>
      </c>
      <c r="N83" s="65">
        <f t="shared" si="29"/>
        <v>1168.9833582599999</v>
      </c>
      <c r="O83" s="48"/>
      <c r="P83" s="48"/>
    </row>
    <row r="84" spans="1:16" ht="102.75" customHeight="1" thickBot="1" x14ac:dyDescent="0.35">
      <c r="A84" s="64" t="s">
        <v>101</v>
      </c>
      <c r="B84" s="65">
        <f>B85+B86</f>
        <v>13.8</v>
      </c>
      <c r="C84" s="65">
        <f>C85+C86+0.1</f>
        <v>134.54399999999998</v>
      </c>
      <c r="D84" s="65">
        <f t="shared" ref="D84:J84" si="32">D85+D86</f>
        <v>192.2</v>
      </c>
      <c r="E84" s="65">
        <f>E85+E86+0.1</f>
        <v>2569.7352359999995</v>
      </c>
      <c r="F84" s="65">
        <f t="shared" si="32"/>
        <v>3.2</v>
      </c>
      <c r="G84" s="65">
        <f t="shared" si="32"/>
        <v>49.303727999999992</v>
      </c>
      <c r="H84" s="65">
        <f t="shared" si="32"/>
        <v>143.9</v>
      </c>
      <c r="I84" s="65">
        <f>I85+I86-0.1</f>
        <v>17.982208</v>
      </c>
      <c r="J84" s="65">
        <f t="shared" si="32"/>
        <v>162.9</v>
      </c>
      <c r="K84" s="65">
        <f>K85+K86-0.1</f>
        <v>21.951301719999996</v>
      </c>
      <c r="L84" s="65">
        <f t="shared" ref="L84:M84" si="33">L85+L86</f>
        <v>9.3119999999999994</v>
      </c>
      <c r="M84" s="65">
        <f t="shared" si="33"/>
        <v>5.4308399999999999</v>
      </c>
      <c r="N84" s="65">
        <f t="shared" si="29"/>
        <v>2798.9473137199993</v>
      </c>
      <c r="O84" s="48"/>
      <c r="P84" s="48"/>
    </row>
    <row r="85" spans="1:16" ht="20.100000000000001" customHeight="1" thickBot="1" x14ac:dyDescent="0.35">
      <c r="A85" s="64" t="s">
        <v>16</v>
      </c>
      <c r="B85" s="66">
        <f>B89+B92+B95+B98</f>
        <v>6.9</v>
      </c>
      <c r="C85" s="66">
        <f>C89+C92+C95+C98</f>
        <v>60.751999999999995</v>
      </c>
      <c r="D85" s="66">
        <f t="shared" ref="D85:J85" si="34">D89+D92+D95+D98</f>
        <v>113.89999999999999</v>
      </c>
      <c r="E85" s="66">
        <f>E89+E92+E95+E98-0.1</f>
        <v>1433.8662199999999</v>
      </c>
      <c r="F85" s="66">
        <f t="shared" si="34"/>
        <v>1.6</v>
      </c>
      <c r="G85" s="66">
        <f>G89+G92+G95+G98</f>
        <v>22.226303999999995</v>
      </c>
      <c r="H85" s="66">
        <f t="shared" si="34"/>
        <v>62.8</v>
      </c>
      <c r="I85" s="66">
        <f>I89+I92+I95+I98</f>
        <v>6.4496920000000006</v>
      </c>
      <c r="J85" s="66">
        <f t="shared" si="34"/>
        <v>81.8</v>
      </c>
      <c r="K85" s="66">
        <f>K89+K92+K95+K98+0.1</f>
        <v>10.438531999999999</v>
      </c>
      <c r="L85" s="66">
        <f t="shared" ref="L85" si="35">L89+L92+L95+L98</f>
        <v>4.6120000000000001</v>
      </c>
      <c r="M85" s="66">
        <f>M89+M92+M95+M98-0.1</f>
        <v>2.59965</v>
      </c>
      <c r="N85" s="65">
        <f>SUM(C85,E85,G85,I85,K85)+M85</f>
        <v>1536.3323979999998</v>
      </c>
      <c r="O85" s="48"/>
      <c r="P85" s="48"/>
    </row>
    <row r="86" spans="1:16" ht="20.100000000000001" customHeight="1" thickBot="1" x14ac:dyDescent="0.35">
      <c r="A86" s="64" t="s">
        <v>33</v>
      </c>
      <c r="B86" s="66">
        <f>B90+B93+B96+B99</f>
        <v>6.9</v>
      </c>
      <c r="C86" s="66">
        <f>C90+C93+C96+C99</f>
        <v>73.691999999999993</v>
      </c>
      <c r="D86" s="66">
        <f t="shared" ref="D86:J86" si="36">D90+D93+D96+D99</f>
        <v>78.300000000000011</v>
      </c>
      <c r="E86" s="66">
        <f>E90+E93+E96+E99</f>
        <v>1135.7690159999997</v>
      </c>
      <c r="F86" s="66">
        <f t="shared" si="36"/>
        <v>1.6</v>
      </c>
      <c r="G86" s="66">
        <f>G90+G93+G96+G99</f>
        <v>27.077423999999997</v>
      </c>
      <c r="H86" s="66">
        <f t="shared" si="36"/>
        <v>81.100000000000009</v>
      </c>
      <c r="I86" s="66">
        <f>I90+I93+I96+I99</f>
        <v>11.632515999999999</v>
      </c>
      <c r="J86" s="66">
        <f t="shared" si="36"/>
        <v>81.100000000000009</v>
      </c>
      <c r="K86" s="66">
        <f>K90+K93+K96+K99</f>
        <v>11.612769719999999</v>
      </c>
      <c r="L86" s="66">
        <f t="shared" ref="L86" si="37">L90+L93+L96+L99</f>
        <v>4.6999999999999993</v>
      </c>
      <c r="M86" s="66">
        <f>M90+M93+M96+M99+0.1</f>
        <v>2.8311899999999999</v>
      </c>
      <c r="N86" s="65">
        <f>SUM(C86,E86,G86,I86,K86)+M86</f>
        <v>1262.6149157199998</v>
      </c>
      <c r="O86" s="48"/>
      <c r="P86" s="48"/>
    </row>
    <row r="87" spans="1:16" ht="18" customHeight="1" thickBot="1" x14ac:dyDescent="0.35">
      <c r="A87" s="90" t="s">
        <v>95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5"/>
      <c r="O87" s="48"/>
      <c r="P87" s="48"/>
    </row>
    <row r="88" spans="1:16" ht="45" customHeight="1" thickBot="1" x14ac:dyDescent="0.35">
      <c r="A88" s="64" t="s">
        <v>102</v>
      </c>
      <c r="B88" s="65">
        <f>B89+B90</f>
        <v>10.100000000000001</v>
      </c>
      <c r="C88" s="65">
        <f>C89+C90</f>
        <v>98.231999999999999</v>
      </c>
      <c r="D88" s="65">
        <f t="shared" ref="D88:M88" si="38">D89+D90</f>
        <v>119.9</v>
      </c>
      <c r="E88" s="65">
        <f>E89+E90</f>
        <v>1232.2825199999997</v>
      </c>
      <c r="F88" s="65">
        <f t="shared" si="38"/>
        <v>0.8</v>
      </c>
      <c r="G88" s="65">
        <f t="shared" si="38"/>
        <v>8.2736640000000001</v>
      </c>
      <c r="H88" s="65">
        <f t="shared" si="38"/>
        <v>42</v>
      </c>
      <c r="I88" s="65">
        <f>I89+I90-0.1</f>
        <v>2.8601000000000005</v>
      </c>
      <c r="J88" s="65">
        <f t="shared" si="38"/>
        <v>42</v>
      </c>
      <c r="K88" s="65">
        <f>K89+K90</f>
        <v>5.3434080000000002</v>
      </c>
      <c r="L88" s="65">
        <f t="shared" si="38"/>
        <v>4.5999999999999996</v>
      </c>
      <c r="M88" s="65">
        <f t="shared" si="38"/>
        <v>2.5497799999999997</v>
      </c>
      <c r="N88" s="65">
        <f>N89+N90+0.1</f>
        <v>1349.5414719999997</v>
      </c>
      <c r="O88" s="48"/>
      <c r="P88" s="48"/>
    </row>
    <row r="89" spans="1:16" ht="20.100000000000001" customHeight="1" thickBot="1" x14ac:dyDescent="0.35">
      <c r="A89" s="64" t="s">
        <v>16</v>
      </c>
      <c r="B89" s="66">
        <v>5.2</v>
      </c>
      <c r="C89" s="66">
        <v>45.9</v>
      </c>
      <c r="D89" s="65">
        <v>70</v>
      </c>
      <c r="E89" s="66">
        <f>D89*ТАРИФЫ!F5/1000</f>
        <v>697.01519999999994</v>
      </c>
      <c r="F89" s="65">
        <v>0.4</v>
      </c>
      <c r="G89" s="65">
        <f>F89*ТАРИФЫ!F5/1000</f>
        <v>3.9829439999999994</v>
      </c>
      <c r="H89" s="65">
        <v>21.3</v>
      </c>
      <c r="I89" s="65">
        <f>H89*ТАРИФЫ!F10/1000</f>
        <v>1.1169720000000003</v>
      </c>
      <c r="J89" s="65">
        <f>H89</f>
        <v>21.3</v>
      </c>
      <c r="K89" s="65">
        <f>J89*ТАРИФЫ!F15/1000</f>
        <v>2.2160520000000004</v>
      </c>
      <c r="L89" s="65">
        <v>2.2999999999999998</v>
      </c>
      <c r="M89" s="65">
        <f>L89*ТАРИФЫ!D26/1000</f>
        <v>1.2339499999999999</v>
      </c>
      <c r="N89" s="65">
        <f>SUM(C89,E89,G89,I89,K89)+M89-0.1</f>
        <v>751.36511799999994</v>
      </c>
      <c r="O89" s="48"/>
      <c r="P89" s="48"/>
    </row>
    <row r="90" spans="1:16" ht="20.100000000000001" customHeight="1" thickBot="1" x14ac:dyDescent="0.35">
      <c r="A90" s="64" t="s">
        <v>33</v>
      </c>
      <c r="B90" s="66">
        <v>4.9000000000000004</v>
      </c>
      <c r="C90" s="66">
        <f>B90*ТАРИФЫ!G21</f>
        <v>52.332000000000001</v>
      </c>
      <c r="D90" s="65">
        <v>49.9</v>
      </c>
      <c r="E90" s="65">
        <f>D90*ТАРИФЫ!G5/1000</f>
        <v>535.26731999999993</v>
      </c>
      <c r="F90" s="65">
        <v>0.4</v>
      </c>
      <c r="G90" s="65">
        <f>F90*ТАРИФЫ!G5/1000</f>
        <v>4.2907200000000003</v>
      </c>
      <c r="H90" s="65">
        <v>20.7</v>
      </c>
      <c r="I90" s="65">
        <f>H90*ТАРИФЫ!G10/1000</f>
        <v>1.8431280000000001</v>
      </c>
      <c r="J90" s="65">
        <f>H90</f>
        <v>20.7</v>
      </c>
      <c r="K90" s="65">
        <f>J90*ТАРИФЫ!G15/1000</f>
        <v>3.1273560000000002</v>
      </c>
      <c r="L90" s="65">
        <v>2.2999999999999998</v>
      </c>
      <c r="M90" s="65">
        <f>L90*ТАРИФЫ!E26/1000</f>
        <v>1.3158299999999998</v>
      </c>
      <c r="N90" s="65">
        <f>SUM(C90,E90,G90,I90,K90)+M90-0.1</f>
        <v>598.07635399999981</v>
      </c>
      <c r="O90" s="48"/>
      <c r="P90" s="48"/>
    </row>
    <row r="91" spans="1:16" ht="45" customHeight="1" thickBot="1" x14ac:dyDescent="0.35">
      <c r="A91" s="64" t="s">
        <v>103</v>
      </c>
      <c r="B91" s="65">
        <f>B92+B93</f>
        <v>2.5999999999999996</v>
      </c>
      <c r="C91" s="65">
        <f>C92+C93</f>
        <v>25.451999999999998</v>
      </c>
      <c r="D91" s="65">
        <f t="shared" ref="D91:J91" si="39">D92+D93</f>
        <v>49.8</v>
      </c>
      <c r="E91" s="65">
        <f>E92+E93</f>
        <v>829.03571999999997</v>
      </c>
      <c r="F91" s="65">
        <f t="shared" si="39"/>
        <v>2.4</v>
      </c>
      <c r="G91" s="65">
        <f>G92+G93</f>
        <v>41.030063999999996</v>
      </c>
      <c r="H91" s="65">
        <f t="shared" si="39"/>
        <v>97</v>
      </c>
      <c r="I91" s="65">
        <f>I92+I93</f>
        <v>14.49888</v>
      </c>
      <c r="J91" s="65">
        <f t="shared" si="39"/>
        <v>116</v>
      </c>
      <c r="K91" s="65">
        <f>K92+K93</f>
        <v>16.300368719999998</v>
      </c>
      <c r="L91" s="65">
        <f t="shared" ref="L91:M91" si="40">L92+L93</f>
        <v>1.556</v>
      </c>
      <c r="M91" s="65">
        <f t="shared" si="40"/>
        <v>1</v>
      </c>
      <c r="N91" s="65">
        <f>SUM(C91,E91,G91,I91,K91)+M91</f>
        <v>927.31703272000004</v>
      </c>
      <c r="O91" s="48"/>
      <c r="P91" s="48"/>
    </row>
    <row r="92" spans="1:16" ht="20.100000000000001" customHeight="1" thickBot="1" x14ac:dyDescent="0.35">
      <c r="A92" s="64" t="s">
        <v>16</v>
      </c>
      <c r="B92" s="66">
        <v>1.2</v>
      </c>
      <c r="C92" s="66">
        <v>10.5</v>
      </c>
      <c r="D92" s="65">
        <v>30.8</v>
      </c>
      <c r="E92" s="65">
        <f>D92*ТАРИФЫ!F8/1000</f>
        <v>468.24624</v>
      </c>
      <c r="F92" s="65">
        <v>1.2</v>
      </c>
      <c r="G92" s="65">
        <f>F92*ТАРИФЫ!F8/1000</f>
        <v>18.243359999999996</v>
      </c>
      <c r="H92" s="65">
        <v>39</v>
      </c>
      <c r="I92" s="65">
        <f>H92*ТАРИФЫ!F13/1000</f>
        <v>5.0263200000000001</v>
      </c>
      <c r="J92" s="65">
        <v>58</v>
      </c>
      <c r="K92" s="65">
        <f>J92*ТАРИФЫ!F19/1000</f>
        <v>7.9552800000000001</v>
      </c>
      <c r="L92" s="65">
        <v>0.75600000000000001</v>
      </c>
      <c r="M92" s="65">
        <v>0.5</v>
      </c>
      <c r="N92" s="65">
        <f>SUM(C92,E92,G92,I92,K92)+M92-0.1</f>
        <v>510.37119999999999</v>
      </c>
      <c r="O92" s="48"/>
      <c r="P92" s="48"/>
    </row>
    <row r="93" spans="1:16" ht="20.100000000000001" customHeight="1" thickBot="1" x14ac:dyDescent="0.35">
      <c r="A93" s="64" t="s">
        <v>33</v>
      </c>
      <c r="B93" s="66">
        <v>1.4</v>
      </c>
      <c r="C93" s="66">
        <f>B93*ТАРИФЫ!G21</f>
        <v>14.951999999999998</v>
      </c>
      <c r="D93" s="65">
        <v>19</v>
      </c>
      <c r="E93" s="65">
        <f>D93*ТАРИФЫ!G8/1000</f>
        <v>360.78947999999997</v>
      </c>
      <c r="F93" s="65">
        <v>1.2</v>
      </c>
      <c r="G93" s="65">
        <f>F93*ТАРИФЫ!G8/1000</f>
        <v>22.786703999999997</v>
      </c>
      <c r="H93" s="65">
        <v>58</v>
      </c>
      <c r="I93" s="65">
        <f>H93*ТАРИФЫ!G13/1000</f>
        <v>9.4725599999999996</v>
      </c>
      <c r="J93" s="65">
        <f>H93</f>
        <v>58</v>
      </c>
      <c r="K93" s="65">
        <f>J93*ТАРИФЫ!G19/1000</f>
        <v>8.3450887199999979</v>
      </c>
      <c r="L93" s="65">
        <v>0.8</v>
      </c>
      <c r="M93" s="65">
        <v>0.5</v>
      </c>
      <c r="N93" s="65">
        <f>SUM(C93,E93,G93,I93,K93)+M93+0.1</f>
        <v>416.94583271999994</v>
      </c>
      <c r="O93" s="48"/>
      <c r="P93" s="48"/>
    </row>
    <row r="94" spans="1:16" ht="45" customHeight="1" thickBot="1" x14ac:dyDescent="0.35">
      <c r="A94" s="64" t="s">
        <v>104</v>
      </c>
      <c r="B94" s="65">
        <f>B95+B96</f>
        <v>0.9</v>
      </c>
      <c r="C94" s="65">
        <f>C95+C96</f>
        <v>8.8919999999999995</v>
      </c>
      <c r="D94" s="65">
        <f t="shared" ref="D94:J94" si="41">D95+D96</f>
        <v>13.5</v>
      </c>
      <c r="E94" s="65">
        <f>E95+E96-0.1</f>
        <v>310.66006399999992</v>
      </c>
      <c r="F94" s="65">
        <f t="shared" si="41"/>
        <v>0</v>
      </c>
      <c r="G94" s="65">
        <f t="shared" si="41"/>
        <v>0</v>
      </c>
      <c r="H94" s="65">
        <f t="shared" si="41"/>
        <v>3.9</v>
      </c>
      <c r="I94" s="65">
        <f t="shared" si="41"/>
        <v>0.42322799999999994</v>
      </c>
      <c r="J94" s="65">
        <f t="shared" si="41"/>
        <v>3.9</v>
      </c>
      <c r="K94" s="65">
        <f>K95+K96+0.1</f>
        <v>0.23514399999999999</v>
      </c>
      <c r="L94" s="65">
        <f>L95+L96</f>
        <v>1.556</v>
      </c>
      <c r="M94" s="65">
        <f>M95+M96</f>
        <v>0.99418000000000006</v>
      </c>
      <c r="N94" s="65">
        <f>SUM(C94,E94,G94,I94,K94)+M94</f>
        <v>321.20461599999987</v>
      </c>
      <c r="O94" s="48"/>
      <c r="P94" s="48"/>
    </row>
    <row r="95" spans="1:16" ht="20.100000000000001" customHeight="1" thickBot="1" x14ac:dyDescent="0.35">
      <c r="A95" s="64" t="s">
        <v>16</v>
      </c>
      <c r="B95" s="66">
        <v>0.4</v>
      </c>
      <c r="C95" s="66">
        <f>B95*ТАРИФЫ!F22</f>
        <v>3.5520000000000005</v>
      </c>
      <c r="D95" s="65">
        <v>7.8</v>
      </c>
      <c r="E95" s="65">
        <f>D95*ТАРИФЫ!F6/1000</f>
        <v>162.83685599999998</v>
      </c>
      <c r="F95" s="65">
        <v>0</v>
      </c>
      <c r="G95" s="66">
        <v>0</v>
      </c>
      <c r="H95" s="65">
        <v>2</v>
      </c>
      <c r="I95" s="65">
        <f>H95*ТАРИФЫ!F11/1000</f>
        <v>0.2064</v>
      </c>
      <c r="J95" s="65">
        <f>H95</f>
        <v>2</v>
      </c>
      <c r="K95" s="65">
        <f>J95*ТАРИФЫ!F16/1000</f>
        <v>6.720000000000001E-2</v>
      </c>
      <c r="L95" s="65">
        <v>0.75600000000000001</v>
      </c>
      <c r="M95" s="65">
        <f>ТАРИФЫ!D27/1000</f>
        <v>0.53649999999999998</v>
      </c>
      <c r="N95" s="65">
        <f t="shared" ref="N95:N98" si="42">SUM(C95,E95,G95,I95,K95)+M95</f>
        <v>167.19895599999998</v>
      </c>
      <c r="O95" s="48"/>
      <c r="P95" s="48"/>
    </row>
    <row r="96" spans="1:16" ht="20.100000000000001" customHeight="1" thickBot="1" x14ac:dyDescent="0.35">
      <c r="A96" s="64" t="s">
        <v>33</v>
      </c>
      <c r="B96" s="66">
        <v>0.5</v>
      </c>
      <c r="C96" s="66">
        <f>B96*ТАРИФЫ!G22</f>
        <v>5.34</v>
      </c>
      <c r="D96" s="65">
        <v>5.7</v>
      </c>
      <c r="E96" s="65">
        <f>D96*ТАРИФЫ!G6/1000</f>
        <v>147.92320799999999</v>
      </c>
      <c r="F96" s="65">
        <v>0</v>
      </c>
      <c r="G96" s="66">
        <v>0</v>
      </c>
      <c r="H96" s="65">
        <v>1.9</v>
      </c>
      <c r="I96" s="65">
        <f>H96*ТАРИФЫ!G11/1000</f>
        <v>0.21682799999999997</v>
      </c>
      <c r="J96" s="65">
        <f>H96</f>
        <v>1.9</v>
      </c>
      <c r="K96" s="65">
        <f>J96*ТАРИФЫ!G16/1000</f>
        <v>6.7943999999999991E-2</v>
      </c>
      <c r="L96" s="65">
        <v>0.8</v>
      </c>
      <c r="M96" s="65">
        <f>L96*ТАРИФЫ!E26/1000</f>
        <v>0.45768000000000009</v>
      </c>
      <c r="N96" s="65">
        <f>SUM(C96,E96,G96,I96,K96)+M96</f>
        <v>154.00566000000001</v>
      </c>
      <c r="O96" s="48"/>
      <c r="P96" s="48"/>
    </row>
    <row r="97" spans="1:16" ht="45" customHeight="1" thickBot="1" x14ac:dyDescent="0.35">
      <c r="A97" s="64" t="s">
        <v>94</v>
      </c>
      <c r="B97" s="65">
        <f>B98+B99</f>
        <v>0.2</v>
      </c>
      <c r="C97" s="65">
        <f t="shared" ref="C97:J97" si="43">C98+C99</f>
        <v>1.8680000000000001</v>
      </c>
      <c r="D97" s="65">
        <f t="shared" si="43"/>
        <v>9</v>
      </c>
      <c r="E97" s="65">
        <f>E98+E99</f>
        <v>197.65693199999998</v>
      </c>
      <c r="F97" s="65">
        <f t="shared" si="43"/>
        <v>0</v>
      </c>
      <c r="G97" s="65">
        <f t="shared" si="43"/>
        <v>0</v>
      </c>
      <c r="H97" s="65">
        <f t="shared" si="43"/>
        <v>1</v>
      </c>
      <c r="I97" s="65">
        <f t="shared" si="43"/>
        <v>0.2</v>
      </c>
      <c r="J97" s="65">
        <f t="shared" si="43"/>
        <v>1</v>
      </c>
      <c r="K97" s="65">
        <f>K98+K99</f>
        <v>0.17238100000000001</v>
      </c>
      <c r="L97" s="65">
        <f t="shared" ref="L97:M97" si="44">L98+L99</f>
        <v>1.6</v>
      </c>
      <c r="M97" s="65">
        <f t="shared" si="44"/>
        <v>0.88688000000000011</v>
      </c>
      <c r="N97" s="65">
        <f>SUM(C97,E97,G97,I97,K97)+M97+0.1</f>
        <v>200.88419299999995</v>
      </c>
      <c r="O97" s="48"/>
      <c r="P97" s="48"/>
    </row>
    <row r="98" spans="1:16" ht="20.100000000000001" customHeight="1" thickBot="1" x14ac:dyDescent="0.35">
      <c r="A98" s="64" t="s">
        <v>16</v>
      </c>
      <c r="B98" s="66">
        <v>0.1</v>
      </c>
      <c r="C98" s="66">
        <v>0.8</v>
      </c>
      <c r="D98" s="65">
        <v>5.3</v>
      </c>
      <c r="E98" s="66">
        <f>D98*ТАРИФЫ!F7/1000</f>
        <v>105.867924</v>
      </c>
      <c r="F98" s="65">
        <v>0</v>
      </c>
      <c r="G98" s="66">
        <v>0</v>
      </c>
      <c r="H98" s="65">
        <v>0.5</v>
      </c>
      <c r="I98" s="66">
        <v>0.1</v>
      </c>
      <c r="J98" s="65">
        <f>H98</f>
        <v>0.5</v>
      </c>
      <c r="K98" s="66">
        <v>0.1</v>
      </c>
      <c r="L98" s="65">
        <v>0.8</v>
      </c>
      <c r="M98" s="65">
        <f>L98*ТАРИФЫ!D26/1000</f>
        <v>0.42920000000000003</v>
      </c>
      <c r="N98" s="65">
        <f t="shared" si="42"/>
        <v>107.29712399999998</v>
      </c>
      <c r="O98" s="48"/>
      <c r="P98" s="48"/>
    </row>
    <row r="99" spans="1:16" ht="20.100000000000001" customHeight="1" thickBot="1" x14ac:dyDescent="0.35">
      <c r="A99" s="64" t="s">
        <v>33</v>
      </c>
      <c r="B99" s="66">
        <v>0.1</v>
      </c>
      <c r="C99" s="66">
        <f>B99*ТАРИФЫ!G21</f>
        <v>1.0680000000000001</v>
      </c>
      <c r="D99" s="65">
        <v>3.7</v>
      </c>
      <c r="E99" s="66">
        <f>D99*ТАРИФЫ!G7/1000</f>
        <v>91.789007999999995</v>
      </c>
      <c r="F99" s="65">
        <v>0</v>
      </c>
      <c r="G99" s="66">
        <v>0</v>
      </c>
      <c r="H99" s="65">
        <v>0.5</v>
      </c>
      <c r="I99" s="66">
        <v>0.1</v>
      </c>
      <c r="J99" s="65">
        <f>H99</f>
        <v>0.5</v>
      </c>
      <c r="K99" s="66">
        <f>J99*ТАРИФЫ!G17/1000</f>
        <v>7.2380999999999987E-2</v>
      </c>
      <c r="L99" s="65">
        <v>0.8</v>
      </c>
      <c r="M99" s="65">
        <f>L99*ТАРИФЫ!E26/1000</f>
        <v>0.45768000000000009</v>
      </c>
      <c r="N99" s="65">
        <f>SUM(C99,E99,G99,I99,K99)+M99+0.1</f>
        <v>93.587068999999971</v>
      </c>
      <c r="O99" s="48"/>
      <c r="P99" s="48"/>
    </row>
    <row r="100" spans="1:16" ht="38.25" customHeight="1" thickBot="1" x14ac:dyDescent="0.35">
      <c r="A100" s="72" t="s">
        <v>66</v>
      </c>
      <c r="B100" s="65">
        <f>B101+B102</f>
        <v>77.599999999999994</v>
      </c>
      <c r="C100" s="65">
        <f>C101+C102+0.1</f>
        <v>755.04000000000008</v>
      </c>
      <c r="D100" s="65">
        <f t="shared" ref="D100:J100" si="45">D101+D102</f>
        <v>642.6</v>
      </c>
      <c r="E100" s="65">
        <f>E101+E102</f>
        <v>8027.0117639999989</v>
      </c>
      <c r="F100" s="65">
        <f t="shared" si="45"/>
        <v>8.4</v>
      </c>
      <c r="G100" s="65">
        <f t="shared" si="45"/>
        <v>103.00559999999999</v>
      </c>
      <c r="H100" s="65">
        <f t="shared" si="45"/>
        <v>984.8</v>
      </c>
      <c r="I100" s="65">
        <f>I101+I102+0.1</f>
        <v>110.94636799999999</v>
      </c>
      <c r="J100" s="65">
        <f t="shared" si="45"/>
        <v>1003.8</v>
      </c>
      <c r="K100" s="65">
        <f>K101+K102</f>
        <v>133.91226397999998</v>
      </c>
      <c r="L100" s="65">
        <f>L101+L102</f>
        <v>79.512</v>
      </c>
      <c r="M100" s="65">
        <f>M101+M102</f>
        <v>44.406459999999996</v>
      </c>
      <c r="N100" s="65">
        <f>SUM(C100,E100,G100,I100,K100)+M100-0.1</f>
        <v>9174.2224559800015</v>
      </c>
      <c r="O100" s="48"/>
      <c r="P100" s="48"/>
    </row>
    <row r="101" spans="1:16" ht="20.25" customHeight="1" thickBot="1" x14ac:dyDescent="0.35">
      <c r="A101" s="64" t="s">
        <v>16</v>
      </c>
      <c r="B101" s="66">
        <f>B79+B82+B85</f>
        <v>40.999999999999993</v>
      </c>
      <c r="C101" s="66">
        <f>C79+C82+C85</f>
        <v>364.05200000000002</v>
      </c>
      <c r="D101" s="66">
        <f t="shared" ref="D101:J101" si="46">D79+D82+D85</f>
        <v>410.5</v>
      </c>
      <c r="E101" s="66">
        <f>E79+E82+E85</f>
        <v>4841.4742999999989</v>
      </c>
      <c r="F101" s="66">
        <f t="shared" si="46"/>
        <v>4.3000000000000007</v>
      </c>
      <c r="G101" s="66">
        <f>G79+G82+G85</f>
        <v>49.111175999999993</v>
      </c>
      <c r="H101" s="66">
        <f t="shared" si="46"/>
        <v>513.59999999999991</v>
      </c>
      <c r="I101" s="66">
        <f>I79+I82+I85-0.1</f>
        <v>47.654927999999998</v>
      </c>
      <c r="J101" s="66">
        <f t="shared" si="46"/>
        <v>532.59999999999991</v>
      </c>
      <c r="K101" s="66">
        <f>K79+K82+K85</f>
        <v>64.993795999999989</v>
      </c>
      <c r="L101" s="66">
        <f t="shared" ref="L101:L102" si="47">L79+L82+L85</f>
        <v>35.112000000000002</v>
      </c>
      <c r="M101" s="66">
        <f>M79+M82+M85-0.1</f>
        <v>18.8629</v>
      </c>
      <c r="N101" s="65">
        <f>SUM(C101,E101,G101,I101,K101)+M101+0.2</f>
        <v>5386.3490999999985</v>
      </c>
      <c r="O101" s="48"/>
      <c r="P101" s="48"/>
    </row>
    <row r="102" spans="1:16" ht="20.25" customHeight="1" thickBot="1" x14ac:dyDescent="0.35">
      <c r="A102" s="64" t="s">
        <v>33</v>
      </c>
      <c r="B102" s="66">
        <f>B80+B83+B86</f>
        <v>36.6</v>
      </c>
      <c r="C102" s="66">
        <f>C80+C83+C86</f>
        <v>390.88800000000003</v>
      </c>
      <c r="D102" s="66">
        <f t="shared" ref="D102:J102" si="48">D80+D83+D86</f>
        <v>232.10000000000002</v>
      </c>
      <c r="E102" s="66">
        <f>E80+E83+E86+0.1</f>
        <v>3185.5374639999995</v>
      </c>
      <c r="F102" s="66">
        <f t="shared" si="48"/>
        <v>4.0999999999999996</v>
      </c>
      <c r="G102" s="66">
        <f>G80+G83+G86</f>
        <v>53.894424000000001</v>
      </c>
      <c r="H102" s="66">
        <f t="shared" si="48"/>
        <v>471.20000000000005</v>
      </c>
      <c r="I102" s="66">
        <f>I80+I83+I86</f>
        <v>63.19144</v>
      </c>
      <c r="J102" s="66">
        <f t="shared" si="48"/>
        <v>471.20000000000005</v>
      </c>
      <c r="K102" s="66">
        <f>K80+K83+K86</f>
        <v>68.918467980000003</v>
      </c>
      <c r="L102" s="66">
        <f t="shared" si="47"/>
        <v>44.400000000000006</v>
      </c>
      <c r="M102" s="66">
        <f>M80+M83+M86</f>
        <v>25.543559999999999</v>
      </c>
      <c r="N102" s="65">
        <f>SUM(C102,E102,G102,I102,K102)+M102-0.1</f>
        <v>3787.8733559799998</v>
      </c>
      <c r="O102" s="48"/>
      <c r="P102" s="48"/>
    </row>
    <row r="103" spans="1:16" ht="27.75" customHeight="1" thickBot="1" x14ac:dyDescent="0.35">
      <c r="A103" s="82" t="s">
        <v>70</v>
      </c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4"/>
      <c r="O103" s="48"/>
      <c r="P103" s="48"/>
    </row>
    <row r="104" spans="1:16" ht="61.5" customHeight="1" thickBot="1" x14ac:dyDescent="0.35">
      <c r="A104" s="72" t="s">
        <v>66</v>
      </c>
      <c r="B104" s="65">
        <f>B105+B106</f>
        <v>551.6</v>
      </c>
      <c r="C104" s="65">
        <f>C105+C106</f>
        <v>5192.308</v>
      </c>
      <c r="D104" s="65">
        <f t="shared" ref="D104:M104" si="49">D105+D106</f>
        <v>1191.8000000000002</v>
      </c>
      <c r="E104" s="65">
        <f>E105+E106-0.1</f>
        <v>15471.372563999998</v>
      </c>
      <c r="F104" s="65">
        <f t="shared" si="49"/>
        <v>69.900000000000006</v>
      </c>
      <c r="G104" s="65">
        <f>G105+G106</f>
        <v>722.1804239999999</v>
      </c>
      <c r="H104" s="65">
        <f t="shared" si="49"/>
        <v>3404</v>
      </c>
      <c r="I104" s="65">
        <f>I105+I106</f>
        <v>238.13050400000006</v>
      </c>
      <c r="J104" s="65">
        <f t="shared" si="49"/>
        <v>3404</v>
      </c>
      <c r="K104" s="65">
        <f>K105+K106</f>
        <v>430.66385200000002</v>
      </c>
      <c r="L104" s="65">
        <f t="shared" si="49"/>
        <v>205.8</v>
      </c>
      <c r="M104" s="65">
        <f t="shared" si="49"/>
        <v>117.61653999999999</v>
      </c>
      <c r="N104" s="65">
        <f>SUM(C104,E104,G104,I104,K104)+M104</f>
        <v>22172.271883999998</v>
      </c>
      <c r="O104" s="48"/>
      <c r="P104" s="48"/>
    </row>
    <row r="105" spans="1:16" ht="28.5" customHeight="1" thickBot="1" x14ac:dyDescent="0.35">
      <c r="A105" s="64" t="s">
        <v>16</v>
      </c>
      <c r="B105" s="66">
        <f>B109+B119+B122</f>
        <v>251</v>
      </c>
      <c r="C105" s="66">
        <f>C109+C119+C122</f>
        <v>1982</v>
      </c>
      <c r="D105" s="66">
        <f t="shared" ref="D105:L105" si="50">D109+D119+D122</f>
        <v>772</v>
      </c>
      <c r="E105" s="66">
        <f>E109+E119+E122+0.1</f>
        <v>9519.3229079999983</v>
      </c>
      <c r="F105" s="66">
        <f t="shared" si="50"/>
        <v>35.900000000000006</v>
      </c>
      <c r="G105" s="66">
        <f>G109+G119+G122</f>
        <v>357.46922399999994</v>
      </c>
      <c r="H105" s="66">
        <f t="shared" si="50"/>
        <v>1779.4</v>
      </c>
      <c r="I105" s="66">
        <f>I109+I119+I122-0.1</f>
        <v>93.311736000000025</v>
      </c>
      <c r="J105" s="66">
        <f t="shared" si="50"/>
        <v>1779.4</v>
      </c>
      <c r="K105" s="66">
        <f>K109+K119+K122</f>
        <v>185.17971599999998</v>
      </c>
      <c r="L105" s="66">
        <f t="shared" si="50"/>
        <v>102.9</v>
      </c>
      <c r="M105" s="66">
        <f>M109+M119+M122+0.1</f>
        <v>55.30585</v>
      </c>
      <c r="N105" s="65">
        <f>SUM(C105,E105,G105,I105,K105)+M105</f>
        <v>12192.589434</v>
      </c>
      <c r="O105" s="48"/>
      <c r="P105" s="48"/>
    </row>
    <row r="106" spans="1:16" ht="28.5" customHeight="1" thickBot="1" x14ac:dyDescent="0.35">
      <c r="A106" s="64" t="s">
        <v>33</v>
      </c>
      <c r="B106" s="66">
        <f>B110+B120+B123</f>
        <v>300.60000000000002</v>
      </c>
      <c r="C106" s="66">
        <f>C110+C120+C123</f>
        <v>3210.308</v>
      </c>
      <c r="D106" s="66">
        <f t="shared" ref="D106:L106" si="51">D110+D120+D123</f>
        <v>419.80000000000007</v>
      </c>
      <c r="E106" s="66">
        <f>E110+E120+E123+0.1</f>
        <v>5952.1496559999996</v>
      </c>
      <c r="F106" s="66">
        <f t="shared" si="51"/>
        <v>34</v>
      </c>
      <c r="G106" s="66">
        <f>G110+G120+G123</f>
        <v>364.71120000000002</v>
      </c>
      <c r="H106" s="66">
        <f t="shared" si="51"/>
        <v>1624.6</v>
      </c>
      <c r="I106" s="66">
        <f>I110+I120+I123+0.1</f>
        <v>144.81876800000003</v>
      </c>
      <c r="J106" s="66">
        <f t="shared" si="51"/>
        <v>1624.6</v>
      </c>
      <c r="K106" s="66">
        <f>K110+K120+K123</f>
        <v>245.48413600000003</v>
      </c>
      <c r="L106" s="66">
        <f t="shared" si="51"/>
        <v>102.9</v>
      </c>
      <c r="M106" s="66">
        <f>M110+M120+M123</f>
        <v>62.310689999999994</v>
      </c>
      <c r="N106" s="65">
        <f>SUM(C106,E106,G106,I106,K106)+M106-0.1</f>
        <v>9979.6824499999966</v>
      </c>
      <c r="O106" s="48"/>
      <c r="P106" s="48"/>
    </row>
    <row r="107" spans="1:16" ht="20.25" customHeight="1" thickBot="1" x14ac:dyDescent="0.35">
      <c r="A107" s="90" t="s">
        <v>95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4"/>
      <c r="O107" s="48"/>
      <c r="P107" s="48"/>
    </row>
    <row r="108" spans="1:16" ht="110.25" customHeight="1" thickBot="1" x14ac:dyDescent="0.35">
      <c r="A108" s="64" t="s">
        <v>96</v>
      </c>
      <c r="B108" s="65">
        <f>B109+B110</f>
        <v>43.3</v>
      </c>
      <c r="C108" s="65">
        <f t="shared" ref="C108:M108" si="52">C109+C110</f>
        <v>404.67600000000004</v>
      </c>
      <c r="D108" s="65">
        <f t="shared" si="52"/>
        <v>448</v>
      </c>
      <c r="E108" s="65">
        <f>E109+E110+0.1</f>
        <v>7863.3410279999998</v>
      </c>
      <c r="F108" s="65">
        <f t="shared" si="52"/>
        <v>0</v>
      </c>
      <c r="G108" s="65">
        <f>G109+G110</f>
        <v>0</v>
      </c>
      <c r="H108" s="65">
        <f t="shared" si="52"/>
        <v>226</v>
      </c>
      <c r="I108" s="65">
        <f t="shared" si="52"/>
        <v>13.904384000000002</v>
      </c>
      <c r="J108" s="65">
        <f t="shared" si="52"/>
        <v>226</v>
      </c>
      <c r="K108" s="65">
        <f t="shared" si="52"/>
        <v>26.030812000000005</v>
      </c>
      <c r="L108" s="65">
        <f t="shared" si="52"/>
        <v>57</v>
      </c>
      <c r="M108" s="65">
        <f t="shared" si="52"/>
        <v>31.595100000000002</v>
      </c>
      <c r="N108" s="65">
        <f>SUM(C108,E108,G108,I108,K108)+M108</f>
        <v>8339.547324000001</v>
      </c>
      <c r="O108" s="48"/>
      <c r="P108" s="48"/>
    </row>
    <row r="109" spans="1:16" ht="20.100000000000001" customHeight="1" thickBot="1" x14ac:dyDescent="0.35">
      <c r="A109" s="64" t="s">
        <v>16</v>
      </c>
      <c r="B109" s="66">
        <f>B113+B116</f>
        <v>25.099999999999998</v>
      </c>
      <c r="C109" s="66">
        <f>C113+C116</f>
        <v>210.4</v>
      </c>
      <c r="D109" s="66">
        <f t="shared" ref="D109:J109" si="53">D113+D116</f>
        <v>290.39999999999998</v>
      </c>
      <c r="E109" s="66">
        <f>E113+E116-0.1</f>
        <v>4723.7583319999994</v>
      </c>
      <c r="F109" s="66">
        <f t="shared" si="53"/>
        <v>0</v>
      </c>
      <c r="G109" s="66">
        <f>G113+G116</f>
        <v>0</v>
      </c>
      <c r="H109" s="66">
        <f t="shared" si="53"/>
        <v>174.4</v>
      </c>
      <c r="I109" s="66">
        <f>I113+I116+0.1</f>
        <v>9.2455360000000013</v>
      </c>
      <c r="J109" s="66">
        <f t="shared" si="53"/>
        <v>174.4</v>
      </c>
      <c r="K109" s="66">
        <f>K113+K116</f>
        <v>18.195516000000005</v>
      </c>
      <c r="L109" s="66">
        <f>L113+L116</f>
        <v>28.5</v>
      </c>
      <c r="M109" s="66">
        <f>M113+M116</f>
        <v>15.290250000000002</v>
      </c>
      <c r="N109" s="65">
        <f>SUM(C109,E109,G109,I109,K109)+M109</f>
        <v>4976.8896339999992</v>
      </c>
      <c r="O109" s="48"/>
      <c r="P109" s="48"/>
    </row>
    <row r="110" spans="1:16" ht="17.25" customHeight="1" thickBot="1" x14ac:dyDescent="0.35">
      <c r="A110" s="64" t="s">
        <v>33</v>
      </c>
      <c r="B110" s="66">
        <f>B114+B117</f>
        <v>18.2</v>
      </c>
      <c r="C110" s="66">
        <f>C114+C117-0.1</f>
        <v>194.27600000000001</v>
      </c>
      <c r="D110" s="66">
        <f t="shared" ref="D110:J110" si="54">D114+D117</f>
        <v>157.60000000000002</v>
      </c>
      <c r="E110" s="66">
        <f>E114+E117</f>
        <v>3139.482696</v>
      </c>
      <c r="F110" s="66">
        <f t="shared" si="54"/>
        <v>0</v>
      </c>
      <c r="G110" s="66">
        <f>G114+G117</f>
        <v>0</v>
      </c>
      <c r="H110" s="66">
        <f t="shared" si="54"/>
        <v>51.6</v>
      </c>
      <c r="I110" s="66">
        <f>I114+I117</f>
        <v>4.6588480000000008</v>
      </c>
      <c r="J110" s="66">
        <f t="shared" si="54"/>
        <v>51.6</v>
      </c>
      <c r="K110" s="66">
        <f>K114+K117</f>
        <v>7.8352960000000005</v>
      </c>
      <c r="L110" s="66">
        <f t="shared" ref="L110" si="55">L114+L117</f>
        <v>28.5</v>
      </c>
      <c r="M110" s="66">
        <f>M114+M117</f>
        <v>16.304850000000002</v>
      </c>
      <c r="N110" s="65">
        <f>SUM(C110,E110,G110,I110,K110)+M110</f>
        <v>3362.5576900000001</v>
      </c>
      <c r="O110" s="48"/>
      <c r="P110" s="48"/>
    </row>
    <row r="111" spans="1:16" ht="18" customHeight="1" thickBot="1" x14ac:dyDescent="0.35">
      <c r="A111" s="90" t="s">
        <v>95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2"/>
      <c r="O111" s="48"/>
      <c r="P111" s="48"/>
    </row>
    <row r="112" spans="1:16" ht="102.75" customHeight="1" thickBot="1" x14ac:dyDescent="0.35">
      <c r="A112" s="64" t="s">
        <v>96</v>
      </c>
      <c r="B112" s="65">
        <f>B113+B114</f>
        <v>35.799999999999997</v>
      </c>
      <c r="C112" s="65">
        <f t="shared" ref="C112:M112" si="56">C113+C114</f>
        <v>332.63200000000001</v>
      </c>
      <c r="D112" s="65">
        <f t="shared" si="56"/>
        <v>162.19999999999999</v>
      </c>
      <c r="E112" s="65">
        <f>E113+E114</f>
        <v>1657.1721599999998</v>
      </c>
      <c r="F112" s="65">
        <f t="shared" si="56"/>
        <v>0</v>
      </c>
      <c r="G112" s="65">
        <f t="shared" si="56"/>
        <v>0</v>
      </c>
      <c r="H112" s="65">
        <f t="shared" si="56"/>
        <v>224.10000000000002</v>
      </c>
      <c r="I112" s="65">
        <f>I113+I114+0.1</f>
        <v>13.725724000000003</v>
      </c>
      <c r="J112" s="65">
        <f t="shared" si="56"/>
        <v>224.10000000000002</v>
      </c>
      <c r="K112" s="65">
        <f t="shared" si="56"/>
        <v>25.723812000000006</v>
      </c>
      <c r="L112" s="65">
        <f t="shared" si="56"/>
        <v>44.2</v>
      </c>
      <c r="M112" s="65">
        <f t="shared" si="56"/>
        <v>24.500060000000005</v>
      </c>
      <c r="N112" s="65">
        <f>N113+N114-0.1</f>
        <v>2053.6537559999997</v>
      </c>
      <c r="O112" s="48"/>
      <c r="P112" s="48"/>
    </row>
    <row r="113" spans="1:16" ht="20.100000000000001" customHeight="1" thickBot="1" x14ac:dyDescent="0.35">
      <c r="A113" s="64" t="s">
        <v>16</v>
      </c>
      <c r="B113" s="66">
        <v>20.9</v>
      </c>
      <c r="C113" s="66">
        <v>173.5</v>
      </c>
      <c r="D113" s="65">
        <v>107.5</v>
      </c>
      <c r="E113" s="66">
        <f>D113*ТАРИФЫ!F5/1000</f>
        <v>1070.4161999999999</v>
      </c>
      <c r="F113" s="65">
        <v>0</v>
      </c>
      <c r="G113" s="65">
        <f>F113*ТАРИФЫ!F5/1000</f>
        <v>0</v>
      </c>
      <c r="H113" s="65">
        <v>172.9</v>
      </c>
      <c r="I113" s="65">
        <f>H113*ТАРИФЫ!F10/1000</f>
        <v>9.0668760000000024</v>
      </c>
      <c r="J113" s="65">
        <f>H113</f>
        <v>172.9</v>
      </c>
      <c r="K113" s="65">
        <f>J113*ТАРИФЫ!F15/1000</f>
        <v>17.988516000000004</v>
      </c>
      <c r="L113" s="65">
        <v>22.1</v>
      </c>
      <c r="M113" s="65">
        <f>L113*ТАРИФЫ!D26/1000</f>
        <v>11.856650000000002</v>
      </c>
      <c r="N113" s="65">
        <f>SUM(C113,E113,G113,I113,K113)+M113+0.1</f>
        <v>1282.9282419999997</v>
      </c>
      <c r="O113" s="48"/>
      <c r="P113" s="48"/>
    </row>
    <row r="114" spans="1:16" ht="20.100000000000001" customHeight="1" thickBot="1" x14ac:dyDescent="0.35">
      <c r="A114" s="64" t="s">
        <v>33</v>
      </c>
      <c r="B114" s="66">
        <v>14.9</v>
      </c>
      <c r="C114" s="66">
        <f>B114*ТАРИФЫ!G21</f>
        <v>159.13200000000001</v>
      </c>
      <c r="D114" s="65">
        <v>54.7</v>
      </c>
      <c r="E114" s="65">
        <f>D114*ТАРИФЫ!G5/1000</f>
        <v>586.75595999999996</v>
      </c>
      <c r="F114" s="65">
        <v>0</v>
      </c>
      <c r="G114" s="65">
        <f>F114*ТАРИФЫ!G5/1000</f>
        <v>0</v>
      </c>
      <c r="H114" s="65">
        <v>51.2</v>
      </c>
      <c r="I114" s="65">
        <f>H114*ТАРИФЫ!G10/1000</f>
        <v>4.5588480000000011</v>
      </c>
      <c r="J114" s="65">
        <f>H114</f>
        <v>51.2</v>
      </c>
      <c r="K114" s="65">
        <f>J114*ТАРИФЫ!G15/1000</f>
        <v>7.7352960000000008</v>
      </c>
      <c r="L114" s="65">
        <v>22.1</v>
      </c>
      <c r="M114" s="65">
        <f>L114*ТАРИФЫ!E26/1000</f>
        <v>12.643410000000001</v>
      </c>
      <c r="N114" s="65">
        <f>SUM(C114,E114,G114,I114,K114)+M114</f>
        <v>770.825514</v>
      </c>
      <c r="O114" s="48"/>
      <c r="P114" s="48"/>
    </row>
    <row r="115" spans="1:16" ht="45" customHeight="1" thickBot="1" x14ac:dyDescent="0.35">
      <c r="A115" s="67" t="s">
        <v>105</v>
      </c>
      <c r="B115" s="65">
        <f>B116+B117</f>
        <v>7.5</v>
      </c>
      <c r="C115" s="65">
        <f t="shared" ref="C115:M115" si="57">C116+C117</f>
        <v>72.144000000000005</v>
      </c>
      <c r="D115" s="65">
        <f t="shared" si="57"/>
        <v>285.8</v>
      </c>
      <c r="E115" s="65">
        <f>E116+E117-0.1</f>
        <v>6206.0688680000003</v>
      </c>
      <c r="F115" s="65">
        <f t="shared" si="57"/>
        <v>0</v>
      </c>
      <c r="G115" s="65">
        <f t="shared" si="57"/>
        <v>0</v>
      </c>
      <c r="H115" s="65">
        <f t="shared" si="57"/>
        <v>1.9</v>
      </c>
      <c r="I115" s="65">
        <f t="shared" si="57"/>
        <v>0.17866000000000001</v>
      </c>
      <c r="J115" s="65">
        <f t="shared" si="57"/>
        <v>1.9</v>
      </c>
      <c r="K115" s="65">
        <f t="shared" si="57"/>
        <v>0.307</v>
      </c>
      <c r="L115" s="65">
        <f t="shared" si="57"/>
        <v>12.8</v>
      </c>
      <c r="M115" s="65">
        <f t="shared" si="57"/>
        <v>7.0950400000000009</v>
      </c>
      <c r="N115" s="65">
        <f>SUM(C115,E115,G115,I115,K115)+M115</f>
        <v>6285.7935680000001</v>
      </c>
      <c r="O115" s="48"/>
      <c r="P115" s="48"/>
    </row>
    <row r="116" spans="1:16" ht="20.100000000000001" customHeight="1" thickBot="1" x14ac:dyDescent="0.35">
      <c r="A116" s="64" t="s">
        <v>16</v>
      </c>
      <c r="B116" s="68">
        <v>4.2</v>
      </c>
      <c r="C116" s="66">
        <v>36.9</v>
      </c>
      <c r="D116" s="65">
        <v>182.9</v>
      </c>
      <c r="E116" s="66">
        <f>D116*ТАРИФЫ!F7/1000</f>
        <v>3653.4421320000001</v>
      </c>
      <c r="F116" s="65">
        <v>0</v>
      </c>
      <c r="G116" s="66">
        <v>0</v>
      </c>
      <c r="H116" s="65">
        <v>1.5</v>
      </c>
      <c r="I116" s="66">
        <f>H116*ТАРИФЫ!F12/1000</f>
        <v>7.8660000000000008E-2</v>
      </c>
      <c r="J116" s="65">
        <f>H116</f>
        <v>1.5</v>
      </c>
      <c r="K116" s="66">
        <f>J116*ТАРИФЫ!F17/1000</f>
        <v>0.20699999999999999</v>
      </c>
      <c r="L116" s="65">
        <v>6.4</v>
      </c>
      <c r="M116" s="65">
        <f>L116*ТАРИФЫ!D26/1000</f>
        <v>3.4336000000000002</v>
      </c>
      <c r="N116" s="65">
        <f>SUM(C116,E116,G116,I116,K116)+M116-0.1</f>
        <v>3693.9613920000002</v>
      </c>
      <c r="O116" s="48"/>
      <c r="P116" s="48"/>
    </row>
    <row r="117" spans="1:16" ht="20.100000000000001" customHeight="1" thickBot="1" x14ac:dyDescent="0.35">
      <c r="A117" s="64" t="s">
        <v>33</v>
      </c>
      <c r="B117" s="66">
        <v>3.3</v>
      </c>
      <c r="C117" s="66">
        <f>B117*ТАРИФЫ!G21</f>
        <v>35.244</v>
      </c>
      <c r="D117" s="65">
        <v>102.9</v>
      </c>
      <c r="E117" s="66">
        <f>D117*ТАРИФЫ!G7/1000</f>
        <v>2552.7267360000001</v>
      </c>
      <c r="F117" s="65">
        <v>0</v>
      </c>
      <c r="G117" s="66">
        <v>0</v>
      </c>
      <c r="H117" s="65">
        <v>0.4</v>
      </c>
      <c r="I117" s="66">
        <v>0.1</v>
      </c>
      <c r="J117" s="65">
        <f>H117</f>
        <v>0.4</v>
      </c>
      <c r="K117" s="66">
        <v>0.1</v>
      </c>
      <c r="L117" s="65">
        <v>6.4</v>
      </c>
      <c r="M117" s="65">
        <f>L117*ТАРИФЫ!E26/1000</f>
        <v>3.6614400000000007</v>
      </c>
      <c r="N117" s="65">
        <f>SUM(C117,E117,G117,I117,K117)+M117</f>
        <v>2591.8321759999999</v>
      </c>
      <c r="O117" s="48"/>
      <c r="P117" s="48"/>
    </row>
    <row r="118" spans="1:16" ht="94.5" customHeight="1" thickBot="1" x14ac:dyDescent="0.35">
      <c r="A118" s="67" t="s">
        <v>97</v>
      </c>
      <c r="B118" s="65">
        <f>B119+B120</f>
        <v>332.6</v>
      </c>
      <c r="C118" s="65">
        <f t="shared" ref="C118:J118" si="58">C119+C120</f>
        <v>3054.3320000000003</v>
      </c>
      <c r="D118" s="65">
        <f t="shared" si="58"/>
        <v>260.7</v>
      </c>
      <c r="E118" s="65">
        <f>E119+E120</f>
        <v>2673.6741359999996</v>
      </c>
      <c r="F118" s="65">
        <f t="shared" si="58"/>
        <v>66.7</v>
      </c>
      <c r="G118" s="65">
        <f>G119+G120</f>
        <v>688.00855200000001</v>
      </c>
      <c r="H118" s="65">
        <f t="shared" si="58"/>
        <v>2856</v>
      </c>
      <c r="I118" s="65">
        <f>I119+I120</f>
        <v>202.91184000000004</v>
      </c>
      <c r="J118" s="65">
        <f t="shared" si="58"/>
        <v>2856</v>
      </c>
      <c r="K118" s="65">
        <f>K119+K120+0.1</f>
        <v>365.54032000000007</v>
      </c>
      <c r="L118" s="65">
        <f>L119+L120</f>
        <v>52.8</v>
      </c>
      <c r="M118" s="65">
        <f>M119+M120</f>
        <v>29.267040000000001</v>
      </c>
      <c r="N118" s="65">
        <f>SUM(C118,E118,G118,I118,K118)+M118</f>
        <v>7013.7338879999998</v>
      </c>
      <c r="O118" s="48"/>
      <c r="P118" s="48"/>
    </row>
    <row r="119" spans="1:16" ht="20.100000000000001" customHeight="1" thickBot="1" x14ac:dyDescent="0.35">
      <c r="A119" s="64" t="s">
        <v>16</v>
      </c>
      <c r="B119" s="66">
        <v>152.69999999999999</v>
      </c>
      <c r="C119" s="66">
        <v>1133</v>
      </c>
      <c r="D119" s="65">
        <v>159.6</v>
      </c>
      <c r="E119" s="66">
        <f>D119*ТАРИФЫ!F5/1000</f>
        <v>1589.1946559999997</v>
      </c>
      <c r="F119" s="65">
        <v>35.700000000000003</v>
      </c>
      <c r="G119" s="66">
        <f>F119*ТАРИФЫ!F5/1000</f>
        <v>355.47775199999995</v>
      </c>
      <c r="H119" s="65">
        <v>1404</v>
      </c>
      <c r="I119" s="65">
        <f>H119*ТАРИФЫ!F10/1000</f>
        <v>73.625760000000014</v>
      </c>
      <c r="J119" s="65">
        <f>H119</f>
        <v>1404</v>
      </c>
      <c r="K119" s="65">
        <f>J119*ТАРИФЫ!F15/1000</f>
        <v>146.07216</v>
      </c>
      <c r="L119" s="65">
        <v>26.4</v>
      </c>
      <c r="M119" s="65">
        <f>L119*ТАРИФЫ!D26/1000</f>
        <v>14.163599999999999</v>
      </c>
      <c r="N119" s="65">
        <f>SUM(C119,E119,G119,I119,K119)+M119+0.1</f>
        <v>3311.6339279999993</v>
      </c>
      <c r="O119" s="48"/>
      <c r="P119" s="48"/>
    </row>
    <row r="120" spans="1:16" ht="20.100000000000001" customHeight="1" thickBot="1" x14ac:dyDescent="0.35">
      <c r="A120" s="64" t="s">
        <v>33</v>
      </c>
      <c r="B120" s="66">
        <v>179.9</v>
      </c>
      <c r="C120" s="66">
        <f>B120*ТАРИФЫ!G21</f>
        <v>1921.3320000000001</v>
      </c>
      <c r="D120" s="65">
        <v>101.1</v>
      </c>
      <c r="E120" s="65">
        <f>D120*ТАРИФЫ!G5/1000</f>
        <v>1084.47948</v>
      </c>
      <c r="F120" s="65">
        <v>31</v>
      </c>
      <c r="G120" s="65">
        <f>F120*ТАРИФЫ!G5/1000</f>
        <v>332.5308</v>
      </c>
      <c r="H120" s="65">
        <v>1452</v>
      </c>
      <c r="I120" s="65">
        <f>H120*ТАРИФЫ!G10/1000</f>
        <v>129.28608000000003</v>
      </c>
      <c r="J120" s="65">
        <f>H120</f>
        <v>1452</v>
      </c>
      <c r="K120" s="65">
        <f>J120*ТАРИФЫ!G15/1000</f>
        <v>219.36816000000005</v>
      </c>
      <c r="L120" s="65">
        <v>26.4</v>
      </c>
      <c r="M120" s="65">
        <f>L120*ТАРИФЫ!E26/1000</f>
        <v>15.103440000000001</v>
      </c>
      <c r="N120" s="65">
        <f>SUM(C120,E120,G120,I120,K120)+M120</f>
        <v>3702.09996</v>
      </c>
      <c r="O120" s="48"/>
      <c r="P120" s="48"/>
    </row>
    <row r="121" spans="1:16" ht="90.75" customHeight="1" thickBot="1" x14ac:dyDescent="0.35">
      <c r="A121" s="67" t="s">
        <v>98</v>
      </c>
      <c r="B121" s="65">
        <f>B122+B123</f>
        <v>175.7</v>
      </c>
      <c r="C121" s="65">
        <f>C122+C123</f>
        <v>1733.3000000000002</v>
      </c>
      <c r="D121" s="65">
        <f t="shared" ref="D121:L121" si="59">D122+D123</f>
        <v>483.1</v>
      </c>
      <c r="E121" s="65">
        <f>E122+E123</f>
        <v>4934.357399999999</v>
      </c>
      <c r="F121" s="65">
        <f t="shared" si="59"/>
        <v>3.2</v>
      </c>
      <c r="G121" s="65">
        <f>G122+G123</f>
        <v>34.171872</v>
      </c>
      <c r="H121" s="65">
        <f t="shared" si="59"/>
        <v>322</v>
      </c>
      <c r="I121" s="65">
        <f>I122+I123</f>
        <v>21.31428</v>
      </c>
      <c r="J121" s="65">
        <f t="shared" si="59"/>
        <v>322</v>
      </c>
      <c r="K121" s="65">
        <f t="shared" si="59"/>
        <v>39.192720000000001</v>
      </c>
      <c r="L121" s="65">
        <f t="shared" si="59"/>
        <v>96</v>
      </c>
      <c r="M121" s="65">
        <f>M122+M123</f>
        <v>56.654399999999995</v>
      </c>
      <c r="N121" s="65">
        <f>SUM(C121,E121,G121,I121,K121)+M121+0.1</f>
        <v>6819.0906719999994</v>
      </c>
      <c r="O121" s="48"/>
      <c r="P121" s="48"/>
    </row>
    <row r="122" spans="1:16" ht="20.100000000000001" customHeight="1" thickBot="1" x14ac:dyDescent="0.35">
      <c r="A122" s="64" t="s">
        <v>16</v>
      </c>
      <c r="B122" s="66">
        <v>73.2</v>
      </c>
      <c r="C122" s="66">
        <v>638.6</v>
      </c>
      <c r="D122" s="65">
        <v>322</v>
      </c>
      <c r="E122" s="66">
        <f>D122*ТАРИФЫ!F5/1000</f>
        <v>3206.2699199999993</v>
      </c>
      <c r="F122" s="65">
        <v>0.2</v>
      </c>
      <c r="G122" s="65">
        <f>F122*ТАРИФЫ!F5/1000</f>
        <v>1.9914719999999997</v>
      </c>
      <c r="H122" s="65">
        <v>201</v>
      </c>
      <c r="I122" s="65">
        <f>H122*ТАРИФЫ!F10/1000</f>
        <v>10.54044</v>
      </c>
      <c r="J122" s="65">
        <f>H122</f>
        <v>201</v>
      </c>
      <c r="K122" s="65">
        <f>J122*ТАРИФЫ!F15/1000</f>
        <v>20.912040000000001</v>
      </c>
      <c r="L122" s="65">
        <v>48</v>
      </c>
      <c r="M122" s="65">
        <f>L122*ТАРИФЫ!D26/1000</f>
        <v>25.751999999999999</v>
      </c>
      <c r="N122" s="65">
        <f>SUM(C122,E122,G122,I122,K122)+M122</f>
        <v>3904.0658719999997</v>
      </c>
      <c r="O122" s="48"/>
      <c r="P122" s="48"/>
    </row>
    <row r="123" spans="1:16" ht="20.100000000000001" customHeight="1" thickBot="1" x14ac:dyDescent="0.35">
      <c r="A123" s="64" t="s">
        <v>33</v>
      </c>
      <c r="B123" s="66">
        <v>102.5</v>
      </c>
      <c r="C123" s="66">
        <f>B123*ТАРИФЫ!G21</f>
        <v>1094.7</v>
      </c>
      <c r="D123" s="65">
        <v>161.1</v>
      </c>
      <c r="E123" s="65">
        <f>D123*ТАРИФЫ!G5/1000</f>
        <v>1728.0874799999997</v>
      </c>
      <c r="F123" s="65">
        <v>3</v>
      </c>
      <c r="G123" s="65">
        <f>F123*ТАРИФЫ!G5/1000</f>
        <v>32.180399999999999</v>
      </c>
      <c r="H123" s="65">
        <v>121</v>
      </c>
      <c r="I123" s="65">
        <f>H123*ТАРИФЫ!G10/1000</f>
        <v>10.77384</v>
      </c>
      <c r="J123" s="65">
        <f>H123</f>
        <v>121</v>
      </c>
      <c r="K123" s="65">
        <f>J123*ТАРИФЫ!G15/1000</f>
        <v>18.28068</v>
      </c>
      <c r="L123" s="65">
        <v>48</v>
      </c>
      <c r="M123" s="65">
        <f>L123*ТАРИФЫ!F26/1000</f>
        <v>30.902399999999997</v>
      </c>
      <c r="N123" s="65">
        <f>SUM(C123,E123,G123,I123,K123)+M123+0.1</f>
        <v>2915.0247999999997</v>
      </c>
      <c r="O123" s="48"/>
      <c r="P123" s="48"/>
    </row>
    <row r="124" spans="1:16" ht="27.75" customHeight="1" thickBot="1" x14ac:dyDescent="0.35">
      <c r="A124" s="82" t="s">
        <v>71</v>
      </c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4"/>
      <c r="O124" s="48"/>
      <c r="P124" s="48"/>
    </row>
    <row r="125" spans="1:16" ht="121.5" customHeight="1" thickBot="1" x14ac:dyDescent="0.35">
      <c r="A125" s="64" t="s">
        <v>99</v>
      </c>
      <c r="B125" s="65">
        <f t="shared" ref="B125:L125" si="60">SUM(B126:B127)</f>
        <v>11.029</v>
      </c>
      <c r="C125" s="66">
        <f>SUM(C126:C127)</f>
        <v>107.85772</v>
      </c>
      <c r="D125" s="65">
        <f t="shared" si="60"/>
        <v>47.465999999999994</v>
      </c>
      <c r="E125" s="65">
        <f t="shared" si="60"/>
        <v>487.91887199999996</v>
      </c>
      <c r="F125" s="65">
        <f t="shared" si="60"/>
        <v>0.65500000000000003</v>
      </c>
      <c r="G125" s="65">
        <f t="shared" si="60"/>
        <v>6.8054171199999995</v>
      </c>
      <c r="H125" s="65">
        <f t="shared" si="60"/>
        <v>27.173999999999999</v>
      </c>
      <c r="I125" s="65">
        <f t="shared" si="60"/>
        <v>2</v>
      </c>
      <c r="J125" s="65">
        <f t="shared" si="60"/>
        <v>27.231999999999999</v>
      </c>
      <c r="K125" s="65">
        <f t="shared" si="60"/>
        <v>3.4</v>
      </c>
      <c r="L125" s="65">
        <f t="shared" si="60"/>
        <v>10.199999999999999</v>
      </c>
      <c r="M125" s="65">
        <f>SUM(M126:M127)-0.1</f>
        <v>5.5538600000000002</v>
      </c>
      <c r="N125" s="65">
        <f>SUM(C125,E125,G125,I125,K125)+M125+0.1</f>
        <v>613.63586911999994</v>
      </c>
      <c r="O125" s="48"/>
      <c r="P125" s="48"/>
    </row>
    <row r="126" spans="1:16" ht="28.5" customHeight="1" thickBot="1" x14ac:dyDescent="0.35">
      <c r="A126" s="64" t="s">
        <v>16</v>
      </c>
      <c r="B126" s="69">
        <v>4.9000000000000004</v>
      </c>
      <c r="C126" s="66">
        <v>42.4</v>
      </c>
      <c r="D126" s="65">
        <v>27.7</v>
      </c>
      <c r="E126" s="65">
        <f>D126*ТАРИФЫ!F5/1000</f>
        <v>275.818872</v>
      </c>
      <c r="F126" s="65">
        <v>0.34200000000000003</v>
      </c>
      <c r="G126" s="65">
        <f>F126*ТАРИФЫ!F5/1000</f>
        <v>3.4054171199999996</v>
      </c>
      <c r="H126" s="65">
        <v>13.842000000000001</v>
      </c>
      <c r="I126" s="65">
        <f>ROUNDUP(H126*ТАРИФЫ!$F$10/1000,1)</f>
        <v>0.79999999999999993</v>
      </c>
      <c r="J126" s="65">
        <v>13.9</v>
      </c>
      <c r="K126" s="65">
        <f>ROUND(J126*ТАРИФЫ!$F$15/1000,1)</f>
        <v>1.4</v>
      </c>
      <c r="L126" s="65">
        <v>5.0999999999999996</v>
      </c>
      <c r="M126" s="65">
        <f>L126*ТАРИФЫ!D26/1000</f>
        <v>2.7361499999999994</v>
      </c>
      <c r="N126" s="65">
        <f>SUM(C126,E126,G126,I126,K126)+M126-0.1</f>
        <v>326.46043911999993</v>
      </c>
      <c r="O126" s="48"/>
      <c r="P126" s="48"/>
    </row>
    <row r="127" spans="1:16" ht="28.5" customHeight="1" thickBot="1" x14ac:dyDescent="0.35">
      <c r="A127" s="64" t="s">
        <v>33</v>
      </c>
      <c r="B127" s="69">
        <v>6.1289999999999996</v>
      </c>
      <c r="C127" s="66">
        <f>B127*ТАРИФЫ!G21</f>
        <v>65.457719999999995</v>
      </c>
      <c r="D127" s="65">
        <v>19.765999999999998</v>
      </c>
      <c r="E127" s="65">
        <f>ROUNDUP(D127*ТАРИФЫ!$G$5/1000,1)</f>
        <v>212.1</v>
      </c>
      <c r="F127" s="65">
        <v>0.313</v>
      </c>
      <c r="G127" s="65">
        <f>ROUNDUP(F127*ТАРИФЫ!$G$5/1000,1)</f>
        <v>3.4</v>
      </c>
      <c r="H127" s="65">
        <v>13.332000000000001</v>
      </c>
      <c r="I127" s="65">
        <f>ROUND(H127*ТАРИФЫ!$G$10/1000,1)</f>
        <v>1.2</v>
      </c>
      <c r="J127" s="65">
        <v>13.332000000000001</v>
      </c>
      <c r="K127" s="65">
        <f>ROUND(J127*ТАРИФЫ!$G$15/1000,1)</f>
        <v>2</v>
      </c>
      <c r="L127" s="65">
        <v>5.0999999999999996</v>
      </c>
      <c r="M127" s="65">
        <f>L127*ТАРИФЫ!E26/1000</f>
        <v>2.91771</v>
      </c>
      <c r="N127" s="65">
        <f>SUM(C127,E127,G127,I127,K127)+M127</f>
        <v>287.07542999999998</v>
      </c>
      <c r="O127" s="48"/>
      <c r="P127" s="48"/>
    </row>
    <row r="128" spans="1:16" ht="25.5" customHeight="1" thickBot="1" x14ac:dyDescent="0.35">
      <c r="A128" s="79" t="s">
        <v>72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5"/>
      <c r="O128" s="48"/>
      <c r="P128" s="48"/>
    </row>
    <row r="129" spans="1:16" ht="128.25" customHeight="1" thickBot="1" x14ac:dyDescent="0.35">
      <c r="A129" s="64" t="s">
        <v>56</v>
      </c>
      <c r="B129" s="66">
        <f>B130+B131</f>
        <v>604.70000000000005</v>
      </c>
      <c r="C129" s="66">
        <f>C130+C131+0.1</f>
        <v>5715.0159999999996</v>
      </c>
      <c r="D129" s="66">
        <f t="shared" ref="D129:K129" si="61">D130+D131</f>
        <v>0</v>
      </c>
      <c r="E129" s="66">
        <v>0</v>
      </c>
      <c r="F129" s="66">
        <f t="shared" si="61"/>
        <v>0</v>
      </c>
      <c r="G129" s="66">
        <f t="shared" si="61"/>
        <v>0</v>
      </c>
      <c r="H129" s="66">
        <f t="shared" si="61"/>
        <v>0</v>
      </c>
      <c r="I129" s="66">
        <f t="shared" si="61"/>
        <v>0</v>
      </c>
      <c r="J129" s="66">
        <f t="shared" si="61"/>
        <v>0</v>
      </c>
      <c r="K129" s="66">
        <f t="shared" si="61"/>
        <v>0</v>
      </c>
      <c r="L129" s="66">
        <v>0</v>
      </c>
      <c r="M129" s="66">
        <v>0</v>
      </c>
      <c r="N129" s="70">
        <f>SUM(C129,E129,G129,I129,K129)+M129</f>
        <v>5715.0159999999996</v>
      </c>
      <c r="O129" s="48"/>
      <c r="P129" s="48"/>
    </row>
    <row r="130" spans="1:16" ht="46.5" customHeight="1" thickBot="1" x14ac:dyDescent="0.35">
      <c r="A130" s="64" t="s">
        <v>16</v>
      </c>
      <c r="B130" s="69">
        <f>B134+B143+B137+B140</f>
        <v>284.89999999999998</v>
      </c>
      <c r="C130" s="69">
        <f>C134+C137+C140+C143</f>
        <v>2299.5520000000001</v>
      </c>
      <c r="D130" s="69">
        <f t="shared" ref="D130:N130" si="62">D134+D143+D137+D140</f>
        <v>0</v>
      </c>
      <c r="E130" s="69">
        <f t="shared" si="62"/>
        <v>0</v>
      </c>
      <c r="F130" s="69">
        <f t="shared" si="62"/>
        <v>0</v>
      </c>
      <c r="G130" s="69">
        <f t="shared" si="62"/>
        <v>0</v>
      </c>
      <c r="H130" s="69">
        <f t="shared" si="62"/>
        <v>0</v>
      </c>
      <c r="I130" s="69">
        <f t="shared" si="62"/>
        <v>0</v>
      </c>
      <c r="J130" s="69">
        <f t="shared" si="62"/>
        <v>0</v>
      </c>
      <c r="K130" s="69">
        <f t="shared" si="62"/>
        <v>0</v>
      </c>
      <c r="L130" s="69">
        <f t="shared" si="62"/>
        <v>0</v>
      </c>
      <c r="M130" s="69">
        <f t="shared" si="62"/>
        <v>0</v>
      </c>
      <c r="N130" s="66">
        <f t="shared" si="62"/>
        <v>2299.5520000000001</v>
      </c>
      <c r="O130" s="48"/>
      <c r="P130" s="48"/>
    </row>
    <row r="131" spans="1:16" ht="38.25" customHeight="1" thickBot="1" x14ac:dyDescent="0.35">
      <c r="A131" s="64" t="s">
        <v>33</v>
      </c>
      <c r="B131" s="69">
        <f>B135+B144+B138+B141</f>
        <v>319.8</v>
      </c>
      <c r="C131" s="69">
        <f>C135+C144+C138+C141-0.1</f>
        <v>3415.3639999999996</v>
      </c>
      <c r="D131" s="69">
        <f t="shared" ref="D131:M131" si="63">D135+D144+D138+D141</f>
        <v>0</v>
      </c>
      <c r="E131" s="69">
        <f t="shared" si="63"/>
        <v>0</v>
      </c>
      <c r="F131" s="69">
        <f t="shared" si="63"/>
        <v>0</v>
      </c>
      <c r="G131" s="69">
        <f t="shared" si="63"/>
        <v>0</v>
      </c>
      <c r="H131" s="69">
        <f t="shared" si="63"/>
        <v>0</v>
      </c>
      <c r="I131" s="69">
        <f t="shared" si="63"/>
        <v>0</v>
      </c>
      <c r="J131" s="69">
        <f t="shared" si="63"/>
        <v>0</v>
      </c>
      <c r="K131" s="69">
        <f t="shared" si="63"/>
        <v>0</v>
      </c>
      <c r="L131" s="69">
        <f t="shared" si="63"/>
        <v>0</v>
      </c>
      <c r="M131" s="69">
        <f t="shared" si="63"/>
        <v>0</v>
      </c>
      <c r="N131" s="68">
        <f>N135+N144+N138+N141-0.1</f>
        <v>3415.3639999999996</v>
      </c>
      <c r="O131" s="48"/>
      <c r="P131" s="48"/>
    </row>
    <row r="132" spans="1:16" ht="18" customHeight="1" thickBot="1" x14ac:dyDescent="0.35">
      <c r="A132" s="79" t="s">
        <v>10</v>
      </c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1"/>
      <c r="O132" s="48"/>
      <c r="P132" s="48"/>
    </row>
    <row r="133" spans="1:16" s="60" customFormat="1" ht="30" customHeight="1" thickBot="1" x14ac:dyDescent="0.35">
      <c r="A133" s="71" t="s">
        <v>15</v>
      </c>
      <c r="B133" s="66">
        <f t="shared" ref="B133:K133" si="64">B134+B135</f>
        <v>410.2</v>
      </c>
      <c r="C133" s="66">
        <f t="shared" si="64"/>
        <v>3882.6</v>
      </c>
      <c r="D133" s="66">
        <f t="shared" si="64"/>
        <v>0</v>
      </c>
      <c r="E133" s="66">
        <f t="shared" si="64"/>
        <v>0</v>
      </c>
      <c r="F133" s="66">
        <f t="shared" si="64"/>
        <v>0</v>
      </c>
      <c r="G133" s="66">
        <f t="shared" si="64"/>
        <v>0</v>
      </c>
      <c r="H133" s="66">
        <f t="shared" si="64"/>
        <v>0</v>
      </c>
      <c r="I133" s="66">
        <f t="shared" si="64"/>
        <v>0</v>
      </c>
      <c r="J133" s="66">
        <f t="shared" si="64"/>
        <v>0</v>
      </c>
      <c r="K133" s="66">
        <f t="shared" si="64"/>
        <v>0</v>
      </c>
      <c r="L133" s="66">
        <v>0</v>
      </c>
      <c r="M133" s="66">
        <v>0</v>
      </c>
      <c r="N133" s="65">
        <f t="shared" ref="N133:N147" si="65">SUM(C133,E133,G133,I133,K133)+M133</f>
        <v>3882.6</v>
      </c>
      <c r="O133" s="48"/>
      <c r="P133" s="48"/>
    </row>
    <row r="134" spans="1:16" ht="20.100000000000001" customHeight="1" thickBot="1" x14ac:dyDescent="0.35">
      <c r="A134" s="64" t="s">
        <v>16</v>
      </c>
      <c r="B134" s="66">
        <v>195.2</v>
      </c>
      <c r="C134" s="66">
        <v>1586.4</v>
      </c>
      <c r="D134" s="66">
        <v>0</v>
      </c>
      <c r="E134" s="66">
        <v>0</v>
      </c>
      <c r="F134" s="66">
        <v>0</v>
      </c>
      <c r="G134" s="65">
        <v>0</v>
      </c>
      <c r="H134" s="65">
        <v>0</v>
      </c>
      <c r="I134" s="65">
        <v>0</v>
      </c>
      <c r="J134" s="65">
        <v>0</v>
      </c>
      <c r="K134" s="65">
        <v>0</v>
      </c>
      <c r="L134" s="65">
        <v>0</v>
      </c>
      <c r="M134" s="65">
        <v>0</v>
      </c>
      <c r="N134" s="65">
        <f t="shared" si="65"/>
        <v>1586.4</v>
      </c>
      <c r="O134" s="48"/>
      <c r="P134" s="48"/>
    </row>
    <row r="135" spans="1:16" ht="20.100000000000001" customHeight="1" thickBot="1" x14ac:dyDescent="0.35">
      <c r="A135" s="64" t="s">
        <v>33</v>
      </c>
      <c r="B135" s="66">
        <v>215</v>
      </c>
      <c r="C135" s="66">
        <f>B135*ТАРИФЫ!G21</f>
        <v>2296.1999999999998</v>
      </c>
      <c r="D135" s="66">
        <v>0</v>
      </c>
      <c r="E135" s="66">
        <v>0</v>
      </c>
      <c r="F135" s="66">
        <v>0</v>
      </c>
      <c r="G135" s="65">
        <v>0</v>
      </c>
      <c r="H135" s="65">
        <v>0</v>
      </c>
      <c r="I135" s="65">
        <v>0</v>
      </c>
      <c r="J135" s="65">
        <v>0</v>
      </c>
      <c r="K135" s="65">
        <v>0</v>
      </c>
      <c r="L135" s="65">
        <v>0</v>
      </c>
      <c r="M135" s="65">
        <v>0</v>
      </c>
      <c r="N135" s="65">
        <f t="shared" si="65"/>
        <v>2296.1999999999998</v>
      </c>
      <c r="O135" s="48"/>
      <c r="P135" s="48"/>
    </row>
    <row r="136" spans="1:16" ht="20.100000000000001" customHeight="1" thickBot="1" x14ac:dyDescent="0.35">
      <c r="A136" s="64" t="s">
        <v>54</v>
      </c>
      <c r="B136" s="66">
        <f>B137+B138</f>
        <v>27.6</v>
      </c>
      <c r="C136" s="66">
        <f t="shared" ref="C136:M136" si="66">C137+C138</f>
        <v>265.49599999999998</v>
      </c>
      <c r="D136" s="66">
        <f t="shared" si="66"/>
        <v>0</v>
      </c>
      <c r="E136" s="66">
        <f t="shared" si="66"/>
        <v>0</v>
      </c>
      <c r="F136" s="66">
        <f t="shared" si="66"/>
        <v>0</v>
      </c>
      <c r="G136" s="66">
        <f t="shared" si="66"/>
        <v>0</v>
      </c>
      <c r="H136" s="66">
        <f t="shared" si="66"/>
        <v>0</v>
      </c>
      <c r="I136" s="66">
        <f t="shared" si="66"/>
        <v>0</v>
      </c>
      <c r="J136" s="66">
        <f t="shared" si="66"/>
        <v>0</v>
      </c>
      <c r="K136" s="66">
        <f t="shared" si="66"/>
        <v>0</v>
      </c>
      <c r="L136" s="66">
        <f t="shared" si="66"/>
        <v>0</v>
      </c>
      <c r="M136" s="66">
        <f t="shared" si="66"/>
        <v>0</v>
      </c>
      <c r="N136" s="65">
        <f t="shared" si="65"/>
        <v>265.49599999999998</v>
      </c>
      <c r="O136" s="48"/>
      <c r="P136" s="48"/>
    </row>
    <row r="137" spans="1:16" ht="20.100000000000001" customHeight="1" thickBot="1" x14ac:dyDescent="0.35">
      <c r="A137" s="64" t="s">
        <v>16</v>
      </c>
      <c r="B137" s="66">
        <v>10.4</v>
      </c>
      <c r="C137" s="66">
        <v>81.8</v>
      </c>
      <c r="D137" s="66">
        <f t="shared" ref="D137:M138" si="67">D138+D139</f>
        <v>0</v>
      </c>
      <c r="E137" s="66">
        <f t="shared" si="67"/>
        <v>0</v>
      </c>
      <c r="F137" s="66">
        <f t="shared" si="67"/>
        <v>0</v>
      </c>
      <c r="G137" s="66">
        <f t="shared" si="67"/>
        <v>0</v>
      </c>
      <c r="H137" s="66">
        <f t="shared" si="67"/>
        <v>0</v>
      </c>
      <c r="I137" s="66">
        <f t="shared" si="67"/>
        <v>0</v>
      </c>
      <c r="J137" s="66">
        <f t="shared" si="67"/>
        <v>0</v>
      </c>
      <c r="K137" s="66">
        <f t="shared" si="67"/>
        <v>0</v>
      </c>
      <c r="L137" s="66">
        <f t="shared" si="67"/>
        <v>0</v>
      </c>
      <c r="M137" s="66">
        <f t="shared" si="67"/>
        <v>0</v>
      </c>
      <c r="N137" s="65">
        <f t="shared" si="65"/>
        <v>81.8</v>
      </c>
      <c r="O137" s="48"/>
      <c r="P137" s="48"/>
    </row>
    <row r="138" spans="1:16" ht="20.100000000000001" customHeight="1" thickBot="1" x14ac:dyDescent="0.35">
      <c r="A138" s="64" t="s">
        <v>33</v>
      </c>
      <c r="B138" s="66">
        <v>17.2</v>
      </c>
      <c r="C138" s="66">
        <f>B138*ТАРИФЫ!G21</f>
        <v>183.696</v>
      </c>
      <c r="D138" s="66">
        <f t="shared" si="67"/>
        <v>0</v>
      </c>
      <c r="E138" s="66">
        <f t="shared" si="67"/>
        <v>0</v>
      </c>
      <c r="F138" s="66">
        <f t="shared" si="67"/>
        <v>0</v>
      </c>
      <c r="G138" s="66">
        <f t="shared" si="67"/>
        <v>0</v>
      </c>
      <c r="H138" s="66">
        <f t="shared" si="67"/>
        <v>0</v>
      </c>
      <c r="I138" s="66">
        <f t="shared" si="67"/>
        <v>0</v>
      </c>
      <c r="J138" s="66">
        <f t="shared" si="67"/>
        <v>0</v>
      </c>
      <c r="K138" s="66">
        <f t="shared" si="67"/>
        <v>0</v>
      </c>
      <c r="L138" s="66">
        <f t="shared" si="67"/>
        <v>0</v>
      </c>
      <c r="M138" s="66">
        <f t="shared" si="67"/>
        <v>0</v>
      </c>
      <c r="N138" s="65">
        <f t="shared" si="65"/>
        <v>183.696</v>
      </c>
      <c r="O138" s="48"/>
      <c r="P138" s="48"/>
    </row>
    <row r="139" spans="1:16" ht="20.100000000000001" customHeight="1" thickBot="1" x14ac:dyDescent="0.35">
      <c r="A139" s="64" t="s">
        <v>11</v>
      </c>
      <c r="B139" s="66">
        <f>B140+B141</f>
        <v>154.69999999999999</v>
      </c>
      <c r="C139" s="66">
        <f t="shared" ref="C139:M141" si="68">C140+C141</f>
        <v>1446.3440000000001</v>
      </c>
      <c r="D139" s="66">
        <f t="shared" si="68"/>
        <v>0</v>
      </c>
      <c r="E139" s="66">
        <f t="shared" si="68"/>
        <v>0</v>
      </c>
      <c r="F139" s="66">
        <f t="shared" si="68"/>
        <v>0</v>
      </c>
      <c r="G139" s="66">
        <f t="shared" si="68"/>
        <v>0</v>
      </c>
      <c r="H139" s="66">
        <f t="shared" si="68"/>
        <v>0</v>
      </c>
      <c r="I139" s="66">
        <f t="shared" si="68"/>
        <v>0</v>
      </c>
      <c r="J139" s="66">
        <f t="shared" si="68"/>
        <v>0</v>
      </c>
      <c r="K139" s="66">
        <f t="shared" si="68"/>
        <v>0</v>
      </c>
      <c r="L139" s="66">
        <f t="shared" si="68"/>
        <v>0</v>
      </c>
      <c r="M139" s="66">
        <f t="shared" si="68"/>
        <v>0</v>
      </c>
      <c r="N139" s="65">
        <f t="shared" si="65"/>
        <v>1446.3440000000001</v>
      </c>
      <c r="O139" s="48"/>
      <c r="P139" s="48"/>
    </row>
    <row r="140" spans="1:16" ht="20.100000000000001" customHeight="1" thickBot="1" x14ac:dyDescent="0.35">
      <c r="A140" s="64" t="s">
        <v>16</v>
      </c>
      <c r="B140" s="66">
        <v>73.900000000000006</v>
      </c>
      <c r="C140" s="66">
        <v>583.4</v>
      </c>
      <c r="D140" s="66">
        <f t="shared" si="68"/>
        <v>0</v>
      </c>
      <c r="E140" s="66">
        <f t="shared" si="68"/>
        <v>0</v>
      </c>
      <c r="F140" s="66">
        <f t="shared" si="68"/>
        <v>0</v>
      </c>
      <c r="G140" s="66">
        <f t="shared" si="68"/>
        <v>0</v>
      </c>
      <c r="H140" s="66">
        <f t="shared" si="68"/>
        <v>0</v>
      </c>
      <c r="I140" s="66">
        <f t="shared" si="68"/>
        <v>0</v>
      </c>
      <c r="J140" s="66">
        <f t="shared" si="68"/>
        <v>0</v>
      </c>
      <c r="K140" s="66">
        <f t="shared" si="68"/>
        <v>0</v>
      </c>
      <c r="L140" s="66">
        <f t="shared" si="68"/>
        <v>0</v>
      </c>
      <c r="M140" s="66">
        <f t="shared" si="68"/>
        <v>0</v>
      </c>
      <c r="N140" s="65">
        <f t="shared" si="65"/>
        <v>583.4</v>
      </c>
      <c r="O140" s="48"/>
      <c r="P140" s="48"/>
    </row>
    <row r="141" spans="1:16" ht="20.100000000000001" customHeight="1" thickBot="1" x14ac:dyDescent="0.35">
      <c r="A141" s="64" t="s">
        <v>33</v>
      </c>
      <c r="B141" s="66">
        <v>80.8</v>
      </c>
      <c r="C141" s="66">
        <f>B141*ТАРИФЫ!G21</f>
        <v>862.94399999999996</v>
      </c>
      <c r="D141" s="66">
        <f t="shared" si="68"/>
        <v>0</v>
      </c>
      <c r="E141" s="66">
        <f t="shared" si="68"/>
        <v>0</v>
      </c>
      <c r="F141" s="66">
        <f t="shared" si="68"/>
        <v>0</v>
      </c>
      <c r="G141" s="66">
        <f t="shared" si="68"/>
        <v>0</v>
      </c>
      <c r="H141" s="66">
        <f t="shared" si="68"/>
        <v>0</v>
      </c>
      <c r="I141" s="66">
        <f t="shared" si="68"/>
        <v>0</v>
      </c>
      <c r="J141" s="66">
        <f t="shared" si="68"/>
        <v>0</v>
      </c>
      <c r="K141" s="66">
        <f t="shared" si="68"/>
        <v>0</v>
      </c>
      <c r="L141" s="66">
        <f t="shared" si="68"/>
        <v>0</v>
      </c>
      <c r="M141" s="66">
        <f t="shared" si="68"/>
        <v>0</v>
      </c>
      <c r="N141" s="65">
        <f t="shared" si="65"/>
        <v>862.94399999999996</v>
      </c>
      <c r="O141" s="48"/>
      <c r="P141" s="48"/>
    </row>
    <row r="142" spans="1:16" ht="20.25" customHeight="1" thickBot="1" x14ac:dyDescent="0.35">
      <c r="A142" s="64" t="s">
        <v>13</v>
      </c>
      <c r="B142" s="66">
        <f>B143+B144</f>
        <v>12.2</v>
      </c>
      <c r="C142" s="66">
        <f>C143+C144</f>
        <v>120.57599999999999</v>
      </c>
      <c r="D142" s="65">
        <v>0</v>
      </c>
      <c r="E142" s="65">
        <v>0</v>
      </c>
      <c r="F142" s="65">
        <v>0</v>
      </c>
      <c r="G142" s="65">
        <v>0</v>
      </c>
      <c r="H142" s="65">
        <v>0</v>
      </c>
      <c r="I142" s="65">
        <v>0</v>
      </c>
      <c r="J142" s="65">
        <v>0</v>
      </c>
      <c r="K142" s="65">
        <v>0</v>
      </c>
      <c r="L142" s="65">
        <v>0</v>
      </c>
      <c r="M142" s="65">
        <v>0</v>
      </c>
      <c r="N142" s="65">
        <f t="shared" si="65"/>
        <v>120.57599999999999</v>
      </c>
      <c r="O142" s="48"/>
      <c r="P142" s="48"/>
    </row>
    <row r="143" spans="1:16" ht="20.25" customHeight="1" thickBot="1" x14ac:dyDescent="0.35">
      <c r="A143" s="64" t="s">
        <v>16</v>
      </c>
      <c r="B143" s="66">
        <v>5.4</v>
      </c>
      <c r="C143" s="66">
        <f>B143*ТАРИФЫ!F22</f>
        <v>47.952000000000005</v>
      </c>
      <c r="D143" s="66">
        <v>0</v>
      </c>
      <c r="E143" s="66">
        <v>0</v>
      </c>
      <c r="F143" s="66">
        <v>0</v>
      </c>
      <c r="G143" s="65">
        <v>0</v>
      </c>
      <c r="H143" s="65">
        <v>0</v>
      </c>
      <c r="I143" s="65">
        <v>0</v>
      </c>
      <c r="J143" s="65">
        <v>0</v>
      </c>
      <c r="K143" s="65">
        <v>0</v>
      </c>
      <c r="L143" s="65">
        <v>0</v>
      </c>
      <c r="M143" s="65">
        <v>0</v>
      </c>
      <c r="N143" s="65">
        <f>SUM(C143,E143,G143,I143,K143)+M143</f>
        <v>47.952000000000005</v>
      </c>
      <c r="O143" s="48"/>
      <c r="P143" s="48"/>
    </row>
    <row r="144" spans="1:16" ht="20.25" customHeight="1" thickBot="1" x14ac:dyDescent="0.35">
      <c r="A144" s="64" t="s">
        <v>33</v>
      </c>
      <c r="B144" s="66">
        <v>6.8</v>
      </c>
      <c r="C144" s="66">
        <f>B144*ТАРИФЫ!G22</f>
        <v>72.623999999999995</v>
      </c>
      <c r="D144" s="66">
        <v>0</v>
      </c>
      <c r="E144" s="66">
        <v>0</v>
      </c>
      <c r="F144" s="66">
        <v>0</v>
      </c>
      <c r="G144" s="65">
        <v>0</v>
      </c>
      <c r="H144" s="65">
        <v>0</v>
      </c>
      <c r="I144" s="65">
        <v>0</v>
      </c>
      <c r="J144" s="65">
        <v>0</v>
      </c>
      <c r="K144" s="65">
        <v>0</v>
      </c>
      <c r="L144" s="65">
        <v>0</v>
      </c>
      <c r="M144" s="65">
        <v>0</v>
      </c>
      <c r="N144" s="65">
        <f>SUM(C144,E144,G144,I144,K144)+M144</f>
        <v>72.623999999999995</v>
      </c>
      <c r="O144" s="48"/>
      <c r="P144" s="48"/>
    </row>
    <row r="145" spans="1:16" ht="113.25" customHeight="1" thickBot="1" x14ac:dyDescent="0.35">
      <c r="A145" s="64" t="s">
        <v>57</v>
      </c>
      <c r="B145" s="66">
        <v>0</v>
      </c>
      <c r="C145" s="66">
        <f>SUM(C146:C147)</f>
        <v>189.8</v>
      </c>
      <c r="D145" s="66">
        <v>0</v>
      </c>
      <c r="E145" s="66">
        <f>SUM(E146:E147)</f>
        <v>5092.8</v>
      </c>
      <c r="F145" s="66">
        <v>0</v>
      </c>
      <c r="G145" s="66">
        <v>0</v>
      </c>
      <c r="H145" s="66">
        <v>0</v>
      </c>
      <c r="I145" s="66">
        <v>0</v>
      </c>
      <c r="J145" s="66">
        <v>0</v>
      </c>
      <c r="K145" s="66">
        <f>K146+K147</f>
        <v>0</v>
      </c>
      <c r="L145" s="66">
        <v>0</v>
      </c>
      <c r="M145" s="66">
        <v>0</v>
      </c>
      <c r="N145" s="65">
        <f t="shared" si="65"/>
        <v>5282.6</v>
      </c>
      <c r="O145" s="48"/>
      <c r="P145" s="48"/>
    </row>
    <row r="146" spans="1:16" ht="38.25" customHeight="1" thickBot="1" x14ac:dyDescent="0.35">
      <c r="A146" s="64" t="s">
        <v>16</v>
      </c>
      <c r="B146" s="66">
        <v>0</v>
      </c>
      <c r="C146" s="66">
        <v>89.8</v>
      </c>
      <c r="D146" s="65">
        <v>0</v>
      </c>
      <c r="E146" s="65">
        <v>2092.8000000000002</v>
      </c>
      <c r="F146" s="65">
        <v>0</v>
      </c>
      <c r="G146" s="65">
        <v>0</v>
      </c>
      <c r="H146" s="65">
        <v>0</v>
      </c>
      <c r="I146" s="65">
        <v>0</v>
      </c>
      <c r="J146" s="65">
        <v>0</v>
      </c>
      <c r="K146" s="65">
        <v>0</v>
      </c>
      <c r="L146" s="65">
        <v>0</v>
      </c>
      <c r="M146" s="65">
        <v>0</v>
      </c>
      <c r="N146" s="65">
        <f t="shared" si="65"/>
        <v>2182.6000000000004</v>
      </c>
      <c r="O146" s="48"/>
      <c r="P146" s="48"/>
    </row>
    <row r="147" spans="1:16" ht="38.25" customHeight="1" thickBot="1" x14ac:dyDescent="0.35">
      <c r="A147" s="64" t="s">
        <v>33</v>
      </c>
      <c r="B147" s="66">
        <v>0</v>
      </c>
      <c r="C147" s="66">
        <v>100</v>
      </c>
      <c r="D147" s="65">
        <v>0</v>
      </c>
      <c r="E147" s="65">
        <v>3000</v>
      </c>
      <c r="F147" s="65">
        <v>0</v>
      </c>
      <c r="G147" s="65">
        <v>0</v>
      </c>
      <c r="H147" s="65">
        <v>0</v>
      </c>
      <c r="I147" s="65">
        <v>0</v>
      </c>
      <c r="J147" s="65">
        <v>0</v>
      </c>
      <c r="K147" s="65">
        <v>0</v>
      </c>
      <c r="L147" s="65">
        <v>0</v>
      </c>
      <c r="M147" s="65">
        <v>0</v>
      </c>
      <c r="N147" s="65">
        <f t="shared" si="65"/>
        <v>3100</v>
      </c>
      <c r="O147" s="48"/>
      <c r="P147" s="48"/>
    </row>
    <row r="148" spans="1:16" ht="48.75" customHeight="1" thickBot="1" x14ac:dyDescent="0.35">
      <c r="A148" s="64" t="s">
        <v>67</v>
      </c>
      <c r="B148" s="65">
        <f>B149+B150</f>
        <v>2023.7310000000002</v>
      </c>
      <c r="C148" s="65">
        <f>C149+C150</f>
        <v>19406.38308</v>
      </c>
      <c r="D148" s="65">
        <f>D149+D150</f>
        <v>8058.8660000000009</v>
      </c>
      <c r="E148" s="65">
        <f>E149+E150+0.1</f>
        <v>114468.92854800003</v>
      </c>
      <c r="F148" s="65">
        <f>F149+F150-0.1</f>
        <v>523.45500000000004</v>
      </c>
      <c r="G148" s="65">
        <f>G149+G150+0.1</f>
        <v>6223.3473651200002</v>
      </c>
      <c r="H148" s="65">
        <f>H149+H150-0.1</f>
        <v>22169.974000000002</v>
      </c>
      <c r="I148" s="65">
        <f>I149+I150</f>
        <v>1854.0861320000004</v>
      </c>
      <c r="J148" s="65">
        <f>J149+J150</f>
        <v>22588.131999999998</v>
      </c>
      <c r="K148" s="65">
        <f>K149+K150</f>
        <v>2936.7991204520004</v>
      </c>
      <c r="L148" s="65">
        <f>L149+L150</f>
        <v>1113.9120000000003</v>
      </c>
      <c r="M148" s="65">
        <f>M149+M150-0.1</f>
        <v>638.46940000000006</v>
      </c>
      <c r="N148" s="65">
        <f>SUM(C148,E148,G148,I148,K148)+M148</f>
        <v>145528.01364557201</v>
      </c>
      <c r="O148" s="48"/>
      <c r="P148" s="48"/>
    </row>
    <row r="149" spans="1:16" ht="19.5" thickBot="1" x14ac:dyDescent="0.35">
      <c r="A149" s="64" t="s">
        <v>16</v>
      </c>
      <c r="B149" s="66">
        <f>B19+B75+B101+B105+B126+B130+B146+B16</f>
        <v>990.1</v>
      </c>
      <c r="C149" s="66">
        <f>C19+C75+C101+C105+C126+C130+C146+C16+0.1</f>
        <v>8267.503999999999</v>
      </c>
      <c r="D149" s="66">
        <f>D19+D75+D101+D105+D126+D130+D146+D16</f>
        <v>5030.9000000000005</v>
      </c>
      <c r="E149" s="66">
        <f>E19+E75+E101+E105+E126+E130+E146+E16</f>
        <v>66156.563348000011</v>
      </c>
      <c r="F149" s="66">
        <f>F19+F75+F101+F105+F126+F130+F146+F16</f>
        <v>262.04200000000003</v>
      </c>
      <c r="G149" s="66">
        <f>G19+G75+G101+G105+G126+G130+G146+G16-0.1</f>
        <v>2941.2828811199997</v>
      </c>
      <c r="H149" s="66">
        <f>H19+H75+H101+H105+H126+H130+H146+H16</f>
        <v>11576.042000000001</v>
      </c>
      <c r="I149" s="66">
        <f>I19+I75+I101+I105+I126+I130+I146+I16+0.1</f>
        <v>757.23527200000001</v>
      </c>
      <c r="J149" s="66">
        <f>J19+J75+J101+J105+J126+J130+J146+J16</f>
        <v>11994.099999999999</v>
      </c>
      <c r="K149" s="66">
        <f>K19+K75+K101+K105+K126+K130+K146+K16+0.1</f>
        <v>1359.5422600000002</v>
      </c>
      <c r="L149" s="66">
        <f>L19+L75+L101+L105+L126+L130+L146+L16</f>
        <v>552.31200000000013</v>
      </c>
      <c r="M149" s="66">
        <f>M19+M75+M101+M105+M126+M130+M146+M16</f>
        <v>296.62311</v>
      </c>
      <c r="N149" s="66">
        <f>N19+N75+N101+N105+N126+N130+N146+N16</f>
        <v>79778.650871119986</v>
      </c>
      <c r="O149" s="48"/>
      <c r="P149" s="48"/>
    </row>
    <row r="150" spans="1:16" ht="19.5" thickBot="1" x14ac:dyDescent="0.35">
      <c r="A150" s="64" t="s">
        <v>33</v>
      </c>
      <c r="B150" s="66">
        <f>B20+B76+B102+B106+B127+B131+B147+B17</f>
        <v>1033.6310000000001</v>
      </c>
      <c r="C150" s="66">
        <f>C20+C76+C102+C106+C127+C131+C147+C17</f>
        <v>11138.879079999999</v>
      </c>
      <c r="D150" s="66">
        <f>D20+D76+D102+D106+D127+D131+D147+D17</f>
        <v>3027.9660000000003</v>
      </c>
      <c r="E150" s="66">
        <f>E20+E76+E102+E106+E127+E131+E147+E17-0.1</f>
        <v>48312.265200000002</v>
      </c>
      <c r="F150" s="66">
        <f>F20+F76+F102+F106+F127+F131+F147+F17</f>
        <v>261.51300000000003</v>
      </c>
      <c r="G150" s="66">
        <f>G20+G76+G102+G106+G127+G131+G147+G17</f>
        <v>3281.9644840000005</v>
      </c>
      <c r="H150" s="66">
        <f>H20+H76+H102+H106+H127+H131+H147+H17</f>
        <v>10594.032000000001</v>
      </c>
      <c r="I150" s="66">
        <f>I20+I76+I102+I106+I127+I131+I147+I17</f>
        <v>1096.8508600000002</v>
      </c>
      <c r="J150" s="66">
        <f>J20+J76+J102+J106+J127+J131+J147+J17</f>
        <v>10594.032000000001</v>
      </c>
      <c r="K150" s="66">
        <f>K20+K76+K102+K106+K127+K131+K147+K17</f>
        <v>1577.2568604520002</v>
      </c>
      <c r="L150" s="66">
        <f>L20+L76+L102+L106+L127+L131+L147+L17</f>
        <v>561.6</v>
      </c>
      <c r="M150" s="66">
        <f>M20+M76+M102+M106+M127+M131+M147+M17-0.1</f>
        <v>341.94629000000003</v>
      </c>
      <c r="N150" s="65">
        <f>SUM(C150,E150,G150,I150,K150)+M150+0.1</f>
        <v>65749.262774452014</v>
      </c>
      <c r="O150" s="48"/>
      <c r="P150" s="48"/>
    </row>
    <row r="151" spans="1:16" x14ac:dyDescent="0.3">
      <c r="A151" s="57"/>
      <c r="B151" s="61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48"/>
      <c r="P151" s="48"/>
    </row>
    <row r="152" spans="1:16" x14ac:dyDescent="0.3">
      <c r="A152" s="57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3"/>
      <c r="O152" s="48"/>
      <c r="P152" s="48"/>
    </row>
    <row r="153" spans="1:16" x14ac:dyDescent="0.3">
      <c r="A153" s="57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</row>
    <row r="154" spans="1:16" x14ac:dyDescent="0.3">
      <c r="A154" s="57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</row>
  </sheetData>
  <mergeCells count="33">
    <mergeCell ref="K5:N5"/>
    <mergeCell ref="K2:N2"/>
    <mergeCell ref="K3:N3"/>
    <mergeCell ref="K4:N4"/>
    <mergeCell ref="A49:N49"/>
    <mergeCell ref="A21:N21"/>
    <mergeCell ref="A10:A12"/>
    <mergeCell ref="A14:N14"/>
    <mergeCell ref="L10:M10"/>
    <mergeCell ref="L11:L12"/>
    <mergeCell ref="M11:M12"/>
    <mergeCell ref="A7:N7"/>
    <mergeCell ref="A8:N8"/>
    <mergeCell ref="H9:N9"/>
    <mergeCell ref="C11:C12"/>
    <mergeCell ref="B10:C10"/>
    <mergeCell ref="A132:N132"/>
    <mergeCell ref="A111:N111"/>
    <mergeCell ref="A124:N124"/>
    <mergeCell ref="A87:N87"/>
    <mergeCell ref="A77:N77"/>
    <mergeCell ref="A103:N103"/>
    <mergeCell ref="A107:N107"/>
    <mergeCell ref="A128:N128"/>
    <mergeCell ref="N10:N12"/>
    <mergeCell ref="H11:H12"/>
    <mergeCell ref="D10:E10"/>
    <mergeCell ref="F10:G10"/>
    <mergeCell ref="H10:I10"/>
    <mergeCell ref="J11:J12"/>
    <mergeCell ref="F11:F12"/>
    <mergeCell ref="J10:K10"/>
    <mergeCell ref="D11:D12"/>
  </mergeCells>
  <phoneticPr fontId="5" type="noConversion"/>
  <printOptions horizontalCentered="1"/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0" zoomScale="89" zoomScaleNormal="89" workbookViewId="0">
      <selection activeCell="E25" sqref="E25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105"/>
      <c r="B1" s="105"/>
      <c r="C1" s="105"/>
      <c r="D1" s="105"/>
      <c r="E1" s="105"/>
      <c r="F1" s="105"/>
      <c r="G1" s="105"/>
    </row>
    <row r="2" spans="1:24" ht="35.25" customHeight="1" thickBot="1" x14ac:dyDescent="0.3">
      <c r="A2" s="105" t="s">
        <v>53</v>
      </c>
      <c r="B2" s="105"/>
      <c r="C2" s="105"/>
      <c r="D2" s="105"/>
      <c r="E2" s="105"/>
      <c r="F2" s="105"/>
      <c r="G2" s="105"/>
      <c r="P2" t="s">
        <v>16</v>
      </c>
      <c r="R2" t="s">
        <v>33</v>
      </c>
    </row>
    <row r="3" spans="1:24" ht="29.25" customHeight="1" thickBot="1" x14ac:dyDescent="0.3">
      <c r="A3" s="5" t="s">
        <v>17</v>
      </c>
      <c r="B3" s="6" t="s">
        <v>18</v>
      </c>
      <c r="C3" s="6" t="s">
        <v>19</v>
      </c>
      <c r="D3" s="6" t="s">
        <v>23</v>
      </c>
      <c r="E3" s="6" t="s">
        <v>24</v>
      </c>
      <c r="F3" s="6" t="s">
        <v>25</v>
      </c>
      <c r="G3" s="6" t="s">
        <v>26</v>
      </c>
      <c r="L3" t="s">
        <v>36</v>
      </c>
      <c r="M3">
        <v>1254.0999999999999</v>
      </c>
      <c r="N3">
        <v>0.03</v>
      </c>
      <c r="P3">
        <f>M3*N3*F5</f>
        <v>374625.75527999992</v>
      </c>
      <c r="R3">
        <f>M3*N3*G5</f>
        <v>403574.39639999997</v>
      </c>
    </row>
    <row r="4" spans="1:24" ht="35.1" customHeight="1" x14ac:dyDescent="0.25">
      <c r="A4" s="99" t="s">
        <v>20</v>
      </c>
      <c r="B4" s="106" t="s">
        <v>21</v>
      </c>
      <c r="C4" s="10" t="s">
        <v>12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37</v>
      </c>
      <c r="M4">
        <v>610.1</v>
      </c>
      <c r="N4">
        <v>3.3000000000000002E-2</v>
      </c>
      <c r="P4">
        <f>M4*N4*D7</f>
        <v>335136.89847000007</v>
      </c>
      <c r="R4">
        <f>M4*N4*G7</f>
        <v>499463.68507200008</v>
      </c>
    </row>
    <row r="5" spans="1:24" ht="35.1" customHeight="1" x14ac:dyDescent="0.25">
      <c r="A5" s="100"/>
      <c r="B5" s="107"/>
      <c r="C5" s="45" t="s">
        <v>15</v>
      </c>
      <c r="D5" s="16">
        <v>8297.7999999999993</v>
      </c>
      <c r="E5" s="16">
        <v>8939</v>
      </c>
      <c r="F5" s="17">
        <f t="shared" si="0"/>
        <v>9957.3599999999988</v>
      </c>
      <c r="G5" s="17">
        <f t="shared" si="1"/>
        <v>10726.8</v>
      </c>
      <c r="I5">
        <v>1.04</v>
      </c>
      <c r="J5" s="3">
        <f>D5*1.04</f>
        <v>8629.7119999999995</v>
      </c>
      <c r="L5" t="s">
        <v>38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100"/>
      <c r="B6" s="107"/>
      <c r="C6" s="45" t="s">
        <v>13</v>
      </c>
      <c r="D6" s="16">
        <v>17397.099999999999</v>
      </c>
      <c r="E6" s="16">
        <v>21626.2</v>
      </c>
      <c r="F6" s="17">
        <f t="shared" si="0"/>
        <v>20876.519999999997</v>
      </c>
      <c r="G6" s="17">
        <f t="shared" si="1"/>
        <v>25951.439999999999</v>
      </c>
      <c r="I6">
        <v>1.04</v>
      </c>
      <c r="J6" s="3">
        <f t="shared" ref="J6:J24" si="2">D6*1.04</f>
        <v>18092.984</v>
      </c>
      <c r="L6" t="s">
        <v>39</v>
      </c>
      <c r="M6">
        <v>2045.9</v>
      </c>
      <c r="N6">
        <v>2.9000000000000001E-2</v>
      </c>
      <c r="P6">
        <f>M6*N6*D6</f>
        <v>1032189.07981</v>
      </c>
      <c r="R6">
        <f>M6*N6*G6</f>
        <v>1539727.4817840001</v>
      </c>
      <c r="T6" t="s">
        <v>40</v>
      </c>
    </row>
    <row r="7" spans="1:24" ht="35.1" customHeight="1" x14ac:dyDescent="0.25">
      <c r="A7" s="100"/>
      <c r="B7" s="107"/>
      <c r="C7" s="45" t="s">
        <v>22</v>
      </c>
      <c r="D7" s="16">
        <v>16645.900000000001</v>
      </c>
      <c r="E7" s="16">
        <v>20673.2</v>
      </c>
      <c r="F7" s="17">
        <f t="shared" si="0"/>
        <v>19975.080000000002</v>
      </c>
      <c r="G7" s="17">
        <f t="shared" si="1"/>
        <v>24807.84</v>
      </c>
      <c r="I7">
        <v>1.04</v>
      </c>
      <c r="J7" s="3">
        <f t="shared" si="2"/>
        <v>17311.736000000001</v>
      </c>
      <c r="P7">
        <f>P3+P4+P5+P6</f>
        <v>1741951.7335600001</v>
      </c>
      <c r="R7">
        <f>R3+R4+R5+R6</f>
        <v>2442765.5632560002</v>
      </c>
      <c r="T7">
        <f>P7+R7</f>
        <v>4184717.2968160002</v>
      </c>
    </row>
    <row r="8" spans="1:24" ht="35.1" customHeight="1" thickBot="1" x14ac:dyDescent="0.3">
      <c r="A8" s="101"/>
      <c r="B8" s="108"/>
      <c r="C8" s="8" t="s">
        <v>11</v>
      </c>
      <c r="D8" s="18">
        <v>12669</v>
      </c>
      <c r="E8" s="16">
        <v>15824.1</v>
      </c>
      <c r="F8" s="19">
        <f t="shared" si="0"/>
        <v>15202.8</v>
      </c>
      <c r="G8" s="19">
        <f t="shared" si="1"/>
        <v>18988.919999999998</v>
      </c>
      <c r="I8">
        <v>1.04</v>
      </c>
      <c r="J8" s="3">
        <f t="shared" si="2"/>
        <v>13175.76</v>
      </c>
      <c r="P8" s="7">
        <f>P7*6</f>
        <v>10451710.401360001</v>
      </c>
      <c r="R8" s="7">
        <f>R7*6</f>
        <v>14656593.379536001</v>
      </c>
      <c r="T8">
        <f>P8+R8</f>
        <v>25108303.780896001</v>
      </c>
    </row>
    <row r="9" spans="1:24" ht="35.1" customHeight="1" x14ac:dyDescent="0.25">
      <c r="A9" s="99" t="s">
        <v>27</v>
      </c>
      <c r="B9" s="102" t="s">
        <v>28</v>
      </c>
      <c r="C9" s="10" t="s">
        <v>12</v>
      </c>
      <c r="D9" s="20">
        <v>0</v>
      </c>
      <c r="E9" s="21">
        <f>I9*J9</f>
        <v>0</v>
      </c>
      <c r="F9" s="22">
        <f t="shared" si="0"/>
        <v>0</v>
      </c>
      <c r="G9" s="22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100"/>
      <c r="B10" s="103"/>
      <c r="C10" s="45" t="s">
        <v>15</v>
      </c>
      <c r="D10" s="16">
        <v>43.7</v>
      </c>
      <c r="E10" s="16">
        <v>74.2</v>
      </c>
      <c r="F10" s="17">
        <f t="shared" si="0"/>
        <v>52.440000000000005</v>
      </c>
      <c r="G10" s="17">
        <f t="shared" si="1"/>
        <v>89.04</v>
      </c>
      <c r="I10">
        <v>1.04</v>
      </c>
      <c r="J10" s="3">
        <f t="shared" si="2"/>
        <v>45.448000000000008</v>
      </c>
      <c r="L10" t="s">
        <v>41</v>
      </c>
      <c r="N10" t="s">
        <v>16</v>
      </c>
      <c r="P10" t="s">
        <v>42</v>
      </c>
      <c r="R10" t="s">
        <v>40</v>
      </c>
    </row>
    <row r="11" spans="1:24" ht="35.1" customHeight="1" x14ac:dyDescent="0.25">
      <c r="A11" s="100"/>
      <c r="B11" s="103"/>
      <c r="C11" s="45" t="s">
        <v>13</v>
      </c>
      <c r="D11" s="16">
        <v>86</v>
      </c>
      <c r="E11" s="16">
        <v>95.1</v>
      </c>
      <c r="F11" s="17">
        <f t="shared" si="0"/>
        <v>103.2</v>
      </c>
      <c r="G11" s="17">
        <f t="shared" si="1"/>
        <v>114.11999999999999</v>
      </c>
      <c r="I11">
        <v>1.04</v>
      </c>
      <c r="J11" s="3">
        <f t="shared" si="2"/>
        <v>89.44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100"/>
      <c r="B12" s="103"/>
      <c r="C12" s="45" t="s">
        <v>22</v>
      </c>
      <c r="D12" s="16">
        <v>43.7</v>
      </c>
      <c r="E12" s="16">
        <v>74.2</v>
      </c>
      <c r="F12" s="17">
        <f t="shared" si="0"/>
        <v>52.440000000000005</v>
      </c>
      <c r="G12" s="17">
        <f t="shared" si="1"/>
        <v>89.04</v>
      </c>
      <c r="I12">
        <v>1.04</v>
      </c>
      <c r="J12" s="3">
        <f t="shared" si="2"/>
        <v>45.448000000000008</v>
      </c>
    </row>
    <row r="13" spans="1:24" ht="35.1" customHeight="1" thickBot="1" x14ac:dyDescent="0.3">
      <c r="A13" s="101"/>
      <c r="B13" s="104"/>
      <c r="C13" s="8" t="s">
        <v>11</v>
      </c>
      <c r="D13" s="23">
        <v>107.4</v>
      </c>
      <c r="E13" s="16">
        <v>136.1</v>
      </c>
      <c r="F13" s="19">
        <f t="shared" si="0"/>
        <v>128.88</v>
      </c>
      <c r="G13" s="19">
        <f t="shared" si="1"/>
        <v>163.32</v>
      </c>
      <c r="I13">
        <v>1.04</v>
      </c>
      <c r="J13" s="3">
        <f t="shared" si="2"/>
        <v>111.69600000000001</v>
      </c>
      <c r="L13" t="s">
        <v>43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99" t="s">
        <v>29</v>
      </c>
      <c r="B14" s="102" t="s">
        <v>30</v>
      </c>
      <c r="C14" s="11" t="s">
        <v>12</v>
      </c>
      <c r="D14" s="24">
        <v>0</v>
      </c>
      <c r="E14" s="25">
        <f>I14*J14</f>
        <v>0</v>
      </c>
      <c r="F14" s="26">
        <f>SUM(D14*1.18)</f>
        <v>0</v>
      </c>
      <c r="G14" s="27">
        <f>SUM(E14*1.18)</f>
        <v>0</v>
      </c>
      <c r="I14">
        <v>1.04</v>
      </c>
      <c r="J14" s="3">
        <f t="shared" si="2"/>
        <v>0</v>
      </c>
      <c r="N14" t="s">
        <v>34</v>
      </c>
      <c r="O14" t="s">
        <v>45</v>
      </c>
      <c r="P14" t="s">
        <v>37</v>
      </c>
      <c r="Q14" t="s">
        <v>46</v>
      </c>
      <c r="R14" t="s">
        <v>47</v>
      </c>
    </row>
    <row r="15" spans="1:24" ht="35.1" customHeight="1" x14ac:dyDescent="0.25">
      <c r="A15" s="100"/>
      <c r="B15" s="103"/>
      <c r="C15" s="46" t="s">
        <v>15</v>
      </c>
      <c r="D15" s="28">
        <v>86.7</v>
      </c>
      <c r="E15" s="29">
        <v>125.9</v>
      </c>
      <c r="F15" s="30">
        <f t="shared" ref="F15:G24" si="3">SUM(D15*1.2)</f>
        <v>104.04</v>
      </c>
      <c r="G15" s="31">
        <f t="shared" si="3"/>
        <v>151.08000000000001</v>
      </c>
      <c r="I15">
        <v>1.04</v>
      </c>
      <c r="J15" s="3">
        <f t="shared" si="2"/>
        <v>90.168000000000006</v>
      </c>
      <c r="L15" t="s">
        <v>44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68624.639999999999</v>
      </c>
      <c r="T15" t="s">
        <v>40</v>
      </c>
      <c r="W15" t="s">
        <v>49</v>
      </c>
      <c r="X15">
        <f>P8+N11+N13+R15</f>
        <v>16625099.141360002</v>
      </c>
    </row>
    <row r="16" spans="1:24" ht="35.1" customHeight="1" x14ac:dyDescent="0.25">
      <c r="A16" s="100"/>
      <c r="B16" s="103"/>
      <c r="C16" s="46" t="s">
        <v>13</v>
      </c>
      <c r="D16" s="28">
        <v>28</v>
      </c>
      <c r="E16" s="29">
        <v>29.8</v>
      </c>
      <c r="F16" s="30">
        <f t="shared" si="3"/>
        <v>33.6</v>
      </c>
      <c r="G16" s="31">
        <f t="shared" si="3"/>
        <v>35.76</v>
      </c>
      <c r="I16">
        <v>1.04</v>
      </c>
      <c r="J16" s="3">
        <f t="shared" si="2"/>
        <v>29.12</v>
      </c>
      <c r="N16">
        <v>1338</v>
      </c>
      <c r="O16">
        <v>5556</v>
      </c>
      <c r="P16">
        <v>834</v>
      </c>
      <c r="Q16">
        <v>7728</v>
      </c>
      <c r="R16">
        <f>Q16*G21</f>
        <v>82535.039999999994</v>
      </c>
      <c r="T16">
        <f>R15+R16</f>
        <v>151159.67999999999</v>
      </c>
      <c r="W16" t="s">
        <v>50</v>
      </c>
      <c r="X16">
        <f>R8+P11+P13+R16</f>
        <v>20915921.319536</v>
      </c>
    </row>
    <row r="17" spans="1:26" s="7" customFormat="1" ht="35.1" customHeight="1" x14ac:dyDescent="0.25">
      <c r="A17" s="100"/>
      <c r="B17" s="103"/>
      <c r="C17" s="12" t="s">
        <v>22</v>
      </c>
      <c r="D17" s="32">
        <v>115</v>
      </c>
      <c r="E17" s="29">
        <f t="shared" ref="E17:E19" si="4">D17*1.049</f>
        <v>120.63499999999999</v>
      </c>
      <c r="F17" s="33">
        <f t="shared" si="3"/>
        <v>138</v>
      </c>
      <c r="G17" s="34">
        <f t="shared" si="3"/>
        <v>144.76199999999997</v>
      </c>
      <c r="H17" s="9"/>
      <c r="I17">
        <v>1.04</v>
      </c>
      <c r="J17" s="3">
        <f>D17*1.04</f>
        <v>119.60000000000001</v>
      </c>
      <c r="W17" s="7" t="s">
        <v>48</v>
      </c>
      <c r="X17" s="7">
        <f>T8+R11+R13+T16</f>
        <v>37541020.460896</v>
      </c>
      <c r="Z17" s="7">
        <f>X15+X16</f>
        <v>37541020.460896</v>
      </c>
    </row>
    <row r="18" spans="1:26" ht="35.1" customHeight="1" x14ac:dyDescent="0.25">
      <c r="A18" s="111"/>
      <c r="B18" s="112"/>
      <c r="C18" s="109" t="s">
        <v>11</v>
      </c>
      <c r="D18" s="28">
        <v>135</v>
      </c>
      <c r="E18" s="29">
        <f t="shared" si="4"/>
        <v>141.61499999999998</v>
      </c>
      <c r="F18" s="30">
        <f t="shared" si="3"/>
        <v>162</v>
      </c>
      <c r="G18" s="31">
        <f t="shared" si="3"/>
        <v>169.93799999999996</v>
      </c>
      <c r="H18" s="4"/>
      <c r="I18">
        <v>1.04</v>
      </c>
      <c r="J18" s="3">
        <f t="shared" si="2"/>
        <v>140.4</v>
      </c>
    </row>
    <row r="19" spans="1:26" s="7" customFormat="1" ht="35.1" customHeight="1" thickBot="1" x14ac:dyDescent="0.3">
      <c r="A19" s="101"/>
      <c r="B19" s="104"/>
      <c r="C19" s="110"/>
      <c r="D19" s="35">
        <v>114.3</v>
      </c>
      <c r="E19" s="29">
        <f t="shared" si="4"/>
        <v>119.90069999999999</v>
      </c>
      <c r="F19" s="36">
        <f t="shared" si="3"/>
        <v>137.16</v>
      </c>
      <c r="G19" s="37">
        <f t="shared" si="3"/>
        <v>143.88083999999998</v>
      </c>
      <c r="H19" s="9"/>
      <c r="I19">
        <v>1.04</v>
      </c>
      <c r="J19" s="3">
        <f t="shared" si="2"/>
        <v>118.872</v>
      </c>
    </row>
    <row r="20" spans="1:26" ht="35.1" customHeight="1" x14ac:dyDescent="0.25">
      <c r="A20" s="99" t="s">
        <v>31</v>
      </c>
      <c r="B20" s="102" t="s">
        <v>32</v>
      </c>
      <c r="C20" s="13" t="s">
        <v>12</v>
      </c>
      <c r="D20" s="38">
        <v>0</v>
      </c>
      <c r="E20" s="39">
        <f>I20*J20</f>
        <v>0</v>
      </c>
      <c r="F20" s="40">
        <f t="shared" si="3"/>
        <v>0</v>
      </c>
      <c r="G20" s="22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100"/>
      <c r="B21" s="103"/>
      <c r="C21" s="14" t="s">
        <v>15</v>
      </c>
      <c r="D21" s="28">
        <v>7.4</v>
      </c>
      <c r="E21" s="29">
        <v>8.9</v>
      </c>
      <c r="F21" s="41">
        <f t="shared" si="3"/>
        <v>8.8800000000000008</v>
      </c>
      <c r="G21" s="17">
        <f t="shared" si="3"/>
        <v>10.68</v>
      </c>
      <c r="I21">
        <v>1.04</v>
      </c>
      <c r="J21" s="3">
        <f t="shared" si="2"/>
        <v>7.6960000000000006</v>
      </c>
    </row>
    <row r="22" spans="1:26" ht="35.1" customHeight="1" x14ac:dyDescent="0.25">
      <c r="A22" s="100"/>
      <c r="B22" s="103"/>
      <c r="C22" s="14" t="s">
        <v>13</v>
      </c>
      <c r="D22" s="28">
        <v>7.4</v>
      </c>
      <c r="E22" s="29">
        <v>8.9</v>
      </c>
      <c r="F22" s="41">
        <f t="shared" si="3"/>
        <v>8.8800000000000008</v>
      </c>
      <c r="G22" s="17">
        <f t="shared" si="3"/>
        <v>10.68</v>
      </c>
      <c r="I22">
        <v>1.04</v>
      </c>
      <c r="J22" s="3">
        <f t="shared" si="2"/>
        <v>7.6960000000000006</v>
      </c>
    </row>
    <row r="23" spans="1:26" ht="35.1" customHeight="1" x14ac:dyDescent="0.25">
      <c r="A23" s="100"/>
      <c r="B23" s="103"/>
      <c r="C23" s="14" t="s">
        <v>22</v>
      </c>
      <c r="D23" s="28">
        <v>7.4</v>
      </c>
      <c r="E23" s="29">
        <v>8.9</v>
      </c>
      <c r="F23" s="41">
        <f t="shared" si="3"/>
        <v>8.8800000000000008</v>
      </c>
      <c r="G23" s="17">
        <f t="shared" si="3"/>
        <v>10.68</v>
      </c>
      <c r="I23">
        <v>1.04</v>
      </c>
      <c r="J23" s="3">
        <f t="shared" si="2"/>
        <v>7.6960000000000006</v>
      </c>
    </row>
    <row r="24" spans="1:26" ht="35.1" customHeight="1" thickBot="1" x14ac:dyDescent="0.3">
      <c r="A24" s="101"/>
      <c r="B24" s="104"/>
      <c r="C24" s="15" t="s">
        <v>11</v>
      </c>
      <c r="D24" s="42">
        <v>7.4</v>
      </c>
      <c r="E24" s="29">
        <v>8.9</v>
      </c>
      <c r="F24" s="43">
        <f t="shared" si="3"/>
        <v>8.8800000000000008</v>
      </c>
      <c r="G24" s="19">
        <f t="shared" si="3"/>
        <v>10.68</v>
      </c>
      <c r="I24">
        <v>1.04</v>
      </c>
      <c r="J24" s="3">
        <f t="shared" si="2"/>
        <v>7.6960000000000006</v>
      </c>
    </row>
    <row r="25" spans="1:26" ht="24.75" customHeight="1" x14ac:dyDescent="0.25">
      <c r="A25" s="99">
        <v>5</v>
      </c>
      <c r="B25" s="102" t="s">
        <v>52</v>
      </c>
      <c r="C25" s="13" t="s">
        <v>12</v>
      </c>
      <c r="D25" s="38">
        <v>0</v>
      </c>
      <c r="E25" s="20">
        <f>I25*J25</f>
        <v>0</v>
      </c>
      <c r="F25" s="22">
        <f t="shared" ref="F25:G29" si="5">SUM(D25*1.2)</f>
        <v>0</v>
      </c>
      <c r="G25" s="44">
        <f t="shared" si="5"/>
        <v>0</v>
      </c>
      <c r="I25">
        <v>1.04</v>
      </c>
      <c r="J25" s="3">
        <f>D25*1.04</f>
        <v>0</v>
      </c>
    </row>
    <row r="26" spans="1:26" ht="27.75" customHeight="1" x14ac:dyDescent="0.25">
      <c r="A26" s="100"/>
      <c r="B26" s="103"/>
      <c r="C26" s="46" t="s">
        <v>15</v>
      </c>
      <c r="D26" s="28">
        <v>536.5</v>
      </c>
      <c r="E26" s="28">
        <v>572.1</v>
      </c>
      <c r="F26" s="17">
        <f t="shared" si="5"/>
        <v>643.79999999999995</v>
      </c>
      <c r="G26" s="17">
        <f t="shared" si="5"/>
        <v>686.52</v>
      </c>
      <c r="I26">
        <v>1.04</v>
      </c>
      <c r="J26" s="3">
        <f>D26*1.04</f>
        <v>557.96</v>
      </c>
    </row>
    <row r="27" spans="1:26" ht="24.75" customHeight="1" x14ac:dyDescent="0.25">
      <c r="A27" s="100"/>
      <c r="B27" s="103"/>
      <c r="C27" s="46" t="s">
        <v>13</v>
      </c>
      <c r="D27" s="28">
        <v>536.5</v>
      </c>
      <c r="E27" s="28">
        <v>572.1</v>
      </c>
      <c r="F27" s="17">
        <f t="shared" si="5"/>
        <v>643.79999999999995</v>
      </c>
      <c r="G27" s="17">
        <f t="shared" si="5"/>
        <v>686.52</v>
      </c>
      <c r="I27">
        <v>1.04</v>
      </c>
      <c r="J27" s="3">
        <f>D27*1.04</f>
        <v>557.96</v>
      </c>
    </row>
    <row r="28" spans="1:26" ht="30" customHeight="1" x14ac:dyDescent="0.25">
      <c r="A28" s="100"/>
      <c r="B28" s="103"/>
      <c r="C28" s="46" t="s">
        <v>22</v>
      </c>
      <c r="D28" s="28">
        <v>536.5</v>
      </c>
      <c r="E28" s="28">
        <v>572.1</v>
      </c>
      <c r="F28" s="17">
        <f t="shared" si="5"/>
        <v>643.79999999999995</v>
      </c>
      <c r="G28" s="17">
        <f t="shared" si="5"/>
        <v>686.52</v>
      </c>
      <c r="I28">
        <v>1.04</v>
      </c>
      <c r="J28" s="3">
        <f>D28*1.04</f>
        <v>557.96</v>
      </c>
    </row>
    <row r="29" spans="1:26" ht="35.25" customHeight="1" thickBot="1" x14ac:dyDescent="0.3">
      <c r="A29" s="101"/>
      <c r="B29" s="104"/>
      <c r="C29" s="47" t="s">
        <v>11</v>
      </c>
      <c r="D29" s="28">
        <v>536.5</v>
      </c>
      <c r="E29" s="28">
        <v>572.1</v>
      </c>
      <c r="F29" s="17">
        <f t="shared" si="5"/>
        <v>643.79999999999995</v>
      </c>
      <c r="G29" s="17">
        <f t="shared" si="5"/>
        <v>686.52</v>
      </c>
      <c r="I29">
        <v>1.04</v>
      </c>
      <c r="J29" s="3">
        <f>D29*1.04</f>
        <v>557.96</v>
      </c>
    </row>
  </sheetData>
  <mergeCells count="13">
    <mergeCell ref="A25:A29"/>
    <mergeCell ref="B25:B29"/>
    <mergeCell ref="C18:C19"/>
    <mergeCell ref="A20:A24"/>
    <mergeCell ref="B20:B24"/>
    <mergeCell ref="A14:A19"/>
    <mergeCell ref="B14:B19"/>
    <mergeCell ref="A9:A13"/>
    <mergeCell ref="B9:B13"/>
    <mergeCell ref="A1:G1"/>
    <mergeCell ref="A2:G2"/>
    <mergeCell ref="A4:A8"/>
    <mergeCell ref="B4:B8"/>
  </mergeCells>
  <phoneticPr fontId="5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ЛИМИТЫ</vt:lpstr>
      <vt:lpstr>ТАРИФЫ</vt:lpstr>
      <vt:lpstr>ЛИМИТЫ!Заголовки_для_печати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2024-11-19T01:21:05Z</cp:lastPrinted>
  <dcterms:created xsi:type="dcterms:W3CDTF">2016-11-22T02:25:12Z</dcterms:created>
  <dcterms:modified xsi:type="dcterms:W3CDTF">2024-11-19T01:22:47Z</dcterms:modified>
</cp:coreProperties>
</file>