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-120" yWindow="-120" windowWidth="29040" windowHeight="15840"/>
  </bookViews>
  <sheets>
    <sheet name="ЛИМИТЫ" sheetId="1" r:id="rId1"/>
    <sheet name="ТАРИФЫ" sheetId="2" r:id="rId2"/>
  </sheets>
  <definedNames>
    <definedName name="_xlnm._FilterDatabase" localSheetId="0" hidden="1">ЛИМИТЫ!$A$14:$N$148</definedName>
    <definedName name="_xlnm.Print_Titles" localSheetId="0">ЛИМИТЫ!$11:$14</definedName>
  </definedNames>
  <calcPr calcId="152511" iterate="1"/>
</workbook>
</file>

<file path=xl/calcChain.xml><?xml version="1.0" encoding="utf-8"?>
<calcChain xmlns="http://schemas.openxmlformats.org/spreadsheetml/2006/main">
  <c r="I150" i="1" l="1"/>
  <c r="I76" i="1"/>
  <c r="I149" i="1" s="1"/>
  <c r="N66" i="1"/>
  <c r="N67" i="1"/>
  <c r="N131" i="1"/>
  <c r="C131" i="1"/>
  <c r="C150" i="1" s="1"/>
  <c r="C132" i="1"/>
  <c r="N20" i="1"/>
  <c r="K20" i="1"/>
  <c r="E21" i="1"/>
  <c r="G20" i="1"/>
  <c r="N21" i="1"/>
  <c r="E151" i="1"/>
  <c r="E20" i="1"/>
  <c r="C21" i="1"/>
  <c r="C20" i="1"/>
  <c r="M151" i="1"/>
  <c r="M150" i="1"/>
  <c r="K151" i="1"/>
  <c r="K150" i="1"/>
  <c r="I151" i="1"/>
  <c r="G151" i="1"/>
  <c r="G150" i="1"/>
  <c r="G149" i="1" s="1"/>
  <c r="E150" i="1"/>
  <c r="C151" i="1"/>
  <c r="N105" i="1"/>
  <c r="N106" i="1"/>
  <c r="N107" i="1"/>
  <c r="M107" i="1"/>
  <c r="M106" i="1"/>
  <c r="K107" i="1"/>
  <c r="K106" i="1"/>
  <c r="I107" i="1"/>
  <c r="I106" i="1"/>
  <c r="G107" i="1"/>
  <c r="G106" i="1"/>
  <c r="E107" i="1"/>
  <c r="E106" i="1"/>
  <c r="C105" i="1"/>
  <c r="C107" i="1"/>
  <c r="C106" i="1"/>
  <c r="N110" i="1"/>
  <c r="N111" i="1"/>
  <c r="M111" i="1"/>
  <c r="M110" i="1"/>
  <c r="K109" i="1"/>
  <c r="K111" i="1"/>
  <c r="K110" i="1"/>
  <c r="I111" i="1"/>
  <c r="I110" i="1"/>
  <c r="E111" i="1"/>
  <c r="E110" i="1"/>
  <c r="C111" i="1"/>
  <c r="C110" i="1"/>
  <c r="M122" i="1"/>
  <c r="K122" i="1"/>
  <c r="G122" i="1"/>
  <c r="E122" i="1"/>
  <c r="N119" i="1"/>
  <c r="N121" i="1"/>
  <c r="G119" i="1"/>
  <c r="N116" i="1"/>
  <c r="N118" i="1"/>
  <c r="N113" i="1"/>
  <c r="N114" i="1"/>
  <c r="M113" i="1"/>
  <c r="E113" i="1"/>
  <c r="C113" i="1"/>
  <c r="N102" i="1"/>
  <c r="N103" i="1"/>
  <c r="M103" i="1"/>
  <c r="M102" i="1"/>
  <c r="K103" i="1"/>
  <c r="K102" i="1"/>
  <c r="I103" i="1"/>
  <c r="I102" i="1"/>
  <c r="G103" i="1"/>
  <c r="G102" i="1"/>
  <c r="E103" i="1"/>
  <c r="E102" i="1"/>
  <c r="C101" i="1"/>
  <c r="C103" i="1"/>
  <c r="C102" i="1"/>
  <c r="N126" i="1"/>
  <c r="N128" i="1"/>
  <c r="M126" i="1"/>
  <c r="C126" i="1"/>
  <c r="C134" i="1"/>
  <c r="C137" i="1"/>
  <c r="C143" i="1"/>
  <c r="N85" i="1"/>
  <c r="N86" i="1"/>
  <c r="M87" i="1"/>
  <c r="M86" i="1"/>
  <c r="K85" i="1"/>
  <c r="K87" i="1"/>
  <c r="K86" i="1"/>
  <c r="I87" i="1"/>
  <c r="I86" i="1"/>
  <c r="G87" i="1"/>
  <c r="G86" i="1"/>
  <c r="E87" i="1"/>
  <c r="E86" i="1"/>
  <c r="C87" i="1"/>
  <c r="C86" i="1"/>
  <c r="N98" i="1"/>
  <c r="N100" i="1"/>
  <c r="E98" i="1"/>
  <c r="C98" i="1"/>
  <c r="N92" i="1"/>
  <c r="N93" i="1"/>
  <c r="N94" i="1"/>
  <c r="G92" i="1"/>
  <c r="E92" i="1"/>
  <c r="C92" i="1"/>
  <c r="N90" i="1"/>
  <c r="E89" i="1"/>
  <c r="N82" i="1"/>
  <c r="N84" i="1"/>
  <c r="K82" i="1"/>
  <c r="I82" i="1"/>
  <c r="E82" i="1"/>
  <c r="N80" i="1"/>
  <c r="K79" i="1"/>
  <c r="I79" i="1"/>
  <c r="G79" i="1"/>
  <c r="E79" i="1"/>
  <c r="M77" i="1"/>
  <c r="M76" i="1"/>
  <c r="K75" i="1"/>
  <c r="K77" i="1"/>
  <c r="K76" i="1"/>
  <c r="J77" i="1"/>
  <c r="J76" i="1"/>
  <c r="I77" i="1"/>
  <c r="G77" i="1"/>
  <c r="G76" i="1"/>
  <c r="E75" i="1"/>
  <c r="E77" i="1"/>
  <c r="E76" i="1"/>
  <c r="C75" i="1"/>
  <c r="C77" i="1"/>
  <c r="C76" i="1"/>
  <c r="N73" i="1"/>
  <c r="N74" i="1"/>
  <c r="I72" i="1"/>
  <c r="N70" i="1"/>
  <c r="E69" i="1"/>
  <c r="N68" i="1"/>
  <c r="K66" i="1"/>
  <c r="G66" i="1"/>
  <c r="N65" i="1"/>
  <c r="K63" i="1"/>
  <c r="I63" i="1"/>
  <c r="G63" i="1"/>
  <c r="E63" i="1"/>
  <c r="N61" i="1"/>
  <c r="N62" i="1"/>
  <c r="K60" i="1"/>
  <c r="C60" i="1"/>
  <c r="N57" i="1"/>
  <c r="N59" i="1"/>
  <c r="M57" i="1"/>
  <c r="K57" i="1"/>
  <c r="I57" i="1"/>
  <c r="C57" i="1"/>
  <c r="N54" i="1"/>
  <c r="C54" i="1"/>
  <c r="N51" i="1"/>
  <c r="I51" i="1"/>
  <c r="G51" i="1"/>
  <c r="M19" i="1"/>
  <c r="M21" i="1"/>
  <c r="M20" i="1"/>
  <c r="K21" i="1"/>
  <c r="I19" i="1"/>
  <c r="I21" i="1"/>
  <c r="I20" i="1"/>
  <c r="G21" i="1"/>
  <c r="C19" i="1"/>
  <c r="N47" i="1"/>
  <c r="K47" i="1"/>
  <c r="N44" i="1"/>
  <c r="N46" i="1"/>
  <c r="N41" i="1" l="1"/>
  <c r="N42" i="1"/>
  <c r="E41" i="1"/>
  <c r="N38" i="1"/>
  <c r="N40" i="1"/>
  <c r="K38" i="1"/>
  <c r="I38" i="1"/>
  <c r="G38" i="1"/>
  <c r="C38" i="1"/>
  <c r="N35" i="1"/>
  <c r="N36" i="1"/>
  <c r="N37" i="1"/>
  <c r="K35" i="1"/>
  <c r="C35" i="1"/>
  <c r="N32" i="1"/>
  <c r="N33" i="1"/>
  <c r="N34" i="1"/>
  <c r="C32" i="1"/>
  <c r="N31" i="1"/>
  <c r="K31" i="1" l="1"/>
  <c r="K30" i="1"/>
  <c r="M29" i="1" l="1"/>
  <c r="I29" i="1"/>
  <c r="E29" i="1"/>
  <c r="N26" i="1"/>
  <c r="N28" i="1"/>
  <c r="M26" i="1"/>
  <c r="K26" i="1"/>
  <c r="E26" i="1"/>
  <c r="N23" i="1"/>
  <c r="N24" i="1"/>
  <c r="N25" i="1"/>
  <c r="M23" i="1"/>
  <c r="G23" i="1"/>
  <c r="E23" i="1"/>
  <c r="N16" i="1"/>
  <c r="N18" i="1"/>
  <c r="M16" i="1"/>
  <c r="E22" i="2"/>
  <c r="E23" i="2"/>
  <c r="E24" i="2"/>
  <c r="E21" i="2"/>
  <c r="F69" i="1"/>
  <c r="M94" i="1"/>
  <c r="M97" i="1"/>
  <c r="M96" i="1"/>
  <c r="M95" i="1" s="1"/>
  <c r="M93" i="1"/>
  <c r="M100" i="1"/>
  <c r="M99" i="1"/>
  <c r="M85" i="1"/>
  <c r="M65" i="1"/>
  <c r="M68" i="1"/>
  <c r="D103" i="1"/>
  <c r="D102" i="1"/>
  <c r="B103" i="1"/>
  <c r="B102" i="1"/>
  <c r="L87" i="1"/>
  <c r="L86" i="1"/>
  <c r="J87" i="1"/>
  <c r="J86" i="1"/>
  <c r="H87" i="1"/>
  <c r="H86" i="1"/>
  <c r="F86" i="1"/>
  <c r="D87" i="1"/>
  <c r="D86" i="1"/>
  <c r="B87" i="1"/>
  <c r="B86" i="1"/>
  <c r="M92" i="1" l="1"/>
  <c r="J111" i="1"/>
  <c r="J110" i="1"/>
  <c r="H111" i="1"/>
  <c r="H110" i="1"/>
  <c r="D111" i="1"/>
  <c r="D110" i="1"/>
  <c r="B111" i="1"/>
  <c r="B110" i="1"/>
  <c r="B131" i="1"/>
  <c r="B146" i="1" l="1"/>
  <c r="H126" i="1" l="1"/>
  <c r="F126" i="1"/>
  <c r="M124" i="1"/>
  <c r="L102" i="1" l="1"/>
  <c r="M62" i="1" l="1"/>
  <c r="M61" i="1"/>
  <c r="M71" i="1"/>
  <c r="M36" i="1"/>
  <c r="M60" i="1" l="1"/>
  <c r="L82" i="1"/>
  <c r="M83" i="1"/>
  <c r="M84" i="1"/>
  <c r="L76" i="1"/>
  <c r="L77" i="1"/>
  <c r="L66" i="1"/>
  <c r="M64" i="1"/>
  <c r="M63" i="1" s="1"/>
  <c r="L41" i="1"/>
  <c r="L38" i="1"/>
  <c r="M25" i="1"/>
  <c r="M74" i="1"/>
  <c r="M73" i="1"/>
  <c r="L60" i="1"/>
  <c r="L72" i="1"/>
  <c r="L69" i="1"/>
  <c r="M72" i="1" l="1"/>
  <c r="M82" i="1"/>
  <c r="L122" i="1"/>
  <c r="M48" i="1"/>
  <c r="M49" i="1"/>
  <c r="L51" i="1"/>
  <c r="M81" i="1" l="1"/>
  <c r="M80" i="1"/>
  <c r="L103" i="1"/>
  <c r="M91" i="1"/>
  <c r="M90" i="1"/>
  <c r="L92" i="1"/>
  <c r="L98" i="1"/>
  <c r="L110" i="1"/>
  <c r="M115" i="1"/>
  <c r="M114" i="1"/>
  <c r="L111" i="1"/>
  <c r="L116" i="1"/>
  <c r="M118" i="1"/>
  <c r="M117" i="1"/>
  <c r="L126" i="1"/>
  <c r="M128" i="1"/>
  <c r="M127" i="1"/>
  <c r="M123" i="1"/>
  <c r="L119" i="1"/>
  <c r="M121" i="1"/>
  <c r="M120" i="1"/>
  <c r="M119" i="1" s="1"/>
  <c r="M40" i="1"/>
  <c r="M39" i="1"/>
  <c r="L35" i="1"/>
  <c r="M37" i="1"/>
  <c r="L63" i="1"/>
  <c r="M42" i="1"/>
  <c r="M43" i="1"/>
  <c r="L32" i="1"/>
  <c r="M34" i="1"/>
  <c r="L29" i="1"/>
  <c r="M31" i="1"/>
  <c r="L26" i="1"/>
  <c r="M28" i="1"/>
  <c r="M27" i="1"/>
  <c r="M67" i="1"/>
  <c r="M66" i="1" s="1"/>
  <c r="M33" i="1"/>
  <c r="M30" i="1"/>
  <c r="L57" i="1"/>
  <c r="L54" i="1"/>
  <c r="M56" i="1"/>
  <c r="M55" i="1"/>
  <c r="M59" i="1"/>
  <c r="M58" i="1"/>
  <c r="L95" i="1"/>
  <c r="M70" i="1"/>
  <c r="M53" i="1"/>
  <c r="M24" i="1"/>
  <c r="M18" i="1"/>
  <c r="M17" i="1"/>
  <c r="M52" i="1"/>
  <c r="L16" i="1"/>
  <c r="B132" i="1"/>
  <c r="M142" i="1"/>
  <c r="M141" i="1" s="1"/>
  <c r="M140" i="1" s="1"/>
  <c r="M139" i="1" s="1"/>
  <c r="M138" i="1" s="1"/>
  <c r="M137" i="1" s="1"/>
  <c r="L142" i="1"/>
  <c r="L141" i="1" s="1"/>
  <c r="L140" i="1" s="1"/>
  <c r="L139" i="1" s="1"/>
  <c r="K142" i="1"/>
  <c r="K141" i="1" s="1"/>
  <c r="K140" i="1" s="1"/>
  <c r="K139" i="1" s="1"/>
  <c r="J142" i="1"/>
  <c r="I142" i="1"/>
  <c r="I141" i="1" s="1"/>
  <c r="H142" i="1"/>
  <c r="H141" i="1" s="1"/>
  <c r="H140" i="1" s="1"/>
  <c r="H139" i="1" s="1"/>
  <c r="H138" i="1" s="1"/>
  <c r="H137" i="1" s="1"/>
  <c r="G142" i="1"/>
  <c r="G141" i="1" s="1"/>
  <c r="G140" i="1" s="1"/>
  <c r="G139" i="1" s="1"/>
  <c r="F142" i="1"/>
  <c r="F141" i="1" s="1"/>
  <c r="F140" i="1" s="1"/>
  <c r="F139" i="1" s="1"/>
  <c r="E142" i="1"/>
  <c r="E141" i="1" s="1"/>
  <c r="E140" i="1" s="1"/>
  <c r="D142" i="1"/>
  <c r="D141" i="1" s="1"/>
  <c r="D140" i="1" s="1"/>
  <c r="D139" i="1" s="1"/>
  <c r="J141" i="1"/>
  <c r="J140" i="1" s="1"/>
  <c r="J139" i="1" s="1"/>
  <c r="B140" i="1"/>
  <c r="B137" i="1"/>
  <c r="B143" i="1"/>
  <c r="M38" i="1" l="1"/>
  <c r="M54" i="1"/>
  <c r="M41" i="1"/>
  <c r="M116" i="1"/>
  <c r="M32" i="1"/>
  <c r="M98" i="1"/>
  <c r="L85" i="1"/>
  <c r="L109" i="1"/>
  <c r="D138" i="1"/>
  <c r="D132" i="1"/>
  <c r="G138" i="1"/>
  <c r="G132" i="1"/>
  <c r="K138" i="1"/>
  <c r="K132" i="1"/>
  <c r="F138" i="1"/>
  <c r="F132" i="1"/>
  <c r="L138" i="1"/>
  <c r="L132" i="1"/>
  <c r="J138" i="1"/>
  <c r="J132" i="1"/>
  <c r="H131" i="1"/>
  <c r="H132" i="1"/>
  <c r="M131" i="1"/>
  <c r="M132" i="1"/>
  <c r="I140" i="1"/>
  <c r="I139" i="1" s="1"/>
  <c r="E139" i="1"/>
  <c r="E132" i="1" s="1"/>
  <c r="M75" i="1" l="1"/>
  <c r="M105" i="1"/>
  <c r="M109" i="1"/>
  <c r="L101" i="1"/>
  <c r="J137" i="1"/>
  <c r="J131" i="1"/>
  <c r="L137" i="1"/>
  <c r="L131" i="1"/>
  <c r="G137" i="1"/>
  <c r="G131" i="1"/>
  <c r="I138" i="1"/>
  <c r="I132" i="1"/>
  <c r="K137" i="1"/>
  <c r="K131" i="1"/>
  <c r="F137" i="1"/>
  <c r="F131" i="1"/>
  <c r="D137" i="1"/>
  <c r="D131" i="1"/>
  <c r="E138" i="1"/>
  <c r="E131" i="1" s="1"/>
  <c r="J83" i="1"/>
  <c r="D20" i="1"/>
  <c r="F20" i="1"/>
  <c r="H20" i="1"/>
  <c r="L20" i="1"/>
  <c r="D21" i="1"/>
  <c r="F21" i="1"/>
  <c r="H21" i="1"/>
  <c r="J21" i="1"/>
  <c r="L21" i="1"/>
  <c r="L107" i="1"/>
  <c r="L106" i="1"/>
  <c r="L113" i="1"/>
  <c r="L89" i="1"/>
  <c r="M89" i="1"/>
  <c r="L79" i="1"/>
  <c r="M79" i="1"/>
  <c r="L23" i="1"/>
  <c r="M149" i="1" l="1"/>
  <c r="I137" i="1"/>
  <c r="I131" i="1"/>
  <c r="E137" i="1"/>
  <c r="L105" i="1"/>
  <c r="L19" i="1"/>
  <c r="L75" i="1"/>
  <c r="F19" i="1"/>
  <c r="D19" i="1"/>
  <c r="H19" i="1"/>
  <c r="L151" i="1" l="1"/>
  <c r="L150" i="1"/>
  <c r="M69" i="1"/>
  <c r="M51" i="1"/>
  <c r="F27" i="2"/>
  <c r="G27" i="2"/>
  <c r="F28" i="2"/>
  <c r="G28" i="2"/>
  <c r="F29" i="2"/>
  <c r="G29" i="2"/>
  <c r="G26" i="2"/>
  <c r="F26" i="2"/>
  <c r="J29" i="2"/>
  <c r="J28" i="2"/>
  <c r="J27" i="2"/>
  <c r="J26" i="2"/>
  <c r="J25" i="2"/>
  <c r="F25" i="2"/>
  <c r="E25" i="2"/>
  <c r="G25" i="2" s="1"/>
  <c r="N148" i="1"/>
  <c r="N147" i="1"/>
  <c r="J24" i="2"/>
  <c r="G24" i="2"/>
  <c r="F24" i="2"/>
  <c r="J23" i="2"/>
  <c r="G23" i="2"/>
  <c r="F23" i="2"/>
  <c r="J22" i="2"/>
  <c r="G22" i="2"/>
  <c r="F22" i="2"/>
  <c r="J21" i="2"/>
  <c r="G21" i="2"/>
  <c r="C91" i="1" s="1"/>
  <c r="F21" i="2"/>
  <c r="C90" i="1" s="1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5" i="1" s="1"/>
  <c r="F15" i="2"/>
  <c r="K36" i="1" s="1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5" i="1" s="1"/>
  <c r="J9" i="2"/>
  <c r="E9" i="2" s="1"/>
  <c r="G9" i="2" s="1"/>
  <c r="F9" i="2"/>
  <c r="J8" i="2"/>
  <c r="G8" i="2"/>
  <c r="G94" i="1" s="1"/>
  <c r="F8" i="2"/>
  <c r="J7" i="2"/>
  <c r="G7" i="2"/>
  <c r="F7" i="2"/>
  <c r="J6" i="2"/>
  <c r="G6" i="2"/>
  <c r="F6" i="2"/>
  <c r="E96" i="1" s="1"/>
  <c r="J5" i="2"/>
  <c r="G5" i="2"/>
  <c r="G25" i="1" s="1"/>
  <c r="F5" i="2"/>
  <c r="E17" i="1" s="1"/>
  <c r="G4" i="2"/>
  <c r="F4" i="2"/>
  <c r="G93" i="1" l="1"/>
  <c r="G55" i="1"/>
  <c r="C70" i="1"/>
  <c r="C33" i="1"/>
  <c r="C96" i="1"/>
  <c r="C145" i="1"/>
  <c r="N145" i="1" s="1"/>
  <c r="C71" i="1"/>
  <c r="C34" i="1"/>
  <c r="C97" i="1"/>
  <c r="C52" i="1"/>
  <c r="C127" i="1"/>
  <c r="C93" i="1"/>
  <c r="C55" i="1"/>
  <c r="C123" i="1"/>
  <c r="C83" i="1"/>
  <c r="C61" i="1"/>
  <c r="C30" i="1"/>
  <c r="C135" i="1"/>
  <c r="C120" i="1"/>
  <c r="C99" i="1"/>
  <c r="C80" i="1"/>
  <c r="C67" i="1"/>
  <c r="C58" i="1"/>
  <c r="C45" i="1"/>
  <c r="C36" i="1"/>
  <c r="C27" i="1"/>
  <c r="C24" i="1"/>
  <c r="C117" i="1"/>
  <c r="C73" i="1"/>
  <c r="C64" i="1"/>
  <c r="C42" i="1"/>
  <c r="C141" i="1"/>
  <c r="N141" i="1" s="1"/>
  <c r="C138" i="1"/>
  <c r="N138" i="1" s="1"/>
  <c r="C114" i="1"/>
  <c r="C39" i="1"/>
  <c r="C136" i="1"/>
  <c r="C121" i="1"/>
  <c r="C100" i="1"/>
  <c r="C81" i="1"/>
  <c r="C68" i="1"/>
  <c r="C59" i="1"/>
  <c r="C46" i="1"/>
  <c r="C37" i="1"/>
  <c r="C28" i="1"/>
  <c r="C94" i="1"/>
  <c r="C65" i="1"/>
  <c r="C43" i="1"/>
  <c r="C139" i="1"/>
  <c r="C124" i="1"/>
  <c r="C84" i="1"/>
  <c r="C53" i="1"/>
  <c r="C31" i="1"/>
  <c r="C128" i="1"/>
  <c r="C118" i="1"/>
  <c r="C74" i="1"/>
  <c r="C56" i="1"/>
  <c r="C142" i="1"/>
  <c r="C115" i="1"/>
  <c r="C62" i="1"/>
  <c r="C40" i="1"/>
  <c r="C25" i="1"/>
  <c r="C144" i="1"/>
  <c r="E24" i="1"/>
  <c r="G42" i="1"/>
  <c r="G24" i="1"/>
  <c r="L149" i="1"/>
  <c r="M101" i="1"/>
  <c r="E40" i="1"/>
  <c r="E127" i="1"/>
  <c r="B20" i="1"/>
  <c r="B77" i="1"/>
  <c r="B76" i="1"/>
  <c r="B21" i="1"/>
  <c r="I124" i="1"/>
  <c r="I123" i="1"/>
  <c r="G124" i="1"/>
  <c r="G123" i="1"/>
  <c r="E124" i="1"/>
  <c r="I120" i="1"/>
  <c r="I121" i="1"/>
  <c r="G121" i="1"/>
  <c r="G120" i="1"/>
  <c r="E121" i="1"/>
  <c r="I117" i="1"/>
  <c r="E118" i="1"/>
  <c r="E117" i="1"/>
  <c r="I115" i="1"/>
  <c r="I114" i="1"/>
  <c r="G115" i="1"/>
  <c r="G111" i="1" s="1"/>
  <c r="E115" i="1"/>
  <c r="G114" i="1"/>
  <c r="G110" i="1" s="1"/>
  <c r="E100" i="1"/>
  <c r="E99" i="1"/>
  <c r="I97" i="1"/>
  <c r="I96" i="1"/>
  <c r="I95" i="1" s="1"/>
  <c r="E97" i="1"/>
  <c r="E95" i="1" s="1"/>
  <c r="I94" i="1"/>
  <c r="I93" i="1"/>
  <c r="E94" i="1"/>
  <c r="E93" i="1"/>
  <c r="I91" i="1"/>
  <c r="I90" i="1"/>
  <c r="G91" i="1"/>
  <c r="E91" i="1"/>
  <c r="G90" i="1"/>
  <c r="I84" i="1"/>
  <c r="I83" i="1"/>
  <c r="G84" i="1"/>
  <c r="E84" i="1"/>
  <c r="G83" i="1"/>
  <c r="E83" i="1"/>
  <c r="I81" i="1"/>
  <c r="I80" i="1"/>
  <c r="G81" i="1"/>
  <c r="G80" i="1"/>
  <c r="E81" i="1"/>
  <c r="E74" i="1"/>
  <c r="I74" i="1"/>
  <c r="I73" i="1"/>
  <c r="G74" i="1"/>
  <c r="G73" i="1"/>
  <c r="I71" i="1"/>
  <c r="I70" i="1"/>
  <c r="E71" i="1"/>
  <c r="E70" i="1"/>
  <c r="I68" i="1"/>
  <c r="I67" i="1"/>
  <c r="G68" i="1"/>
  <c r="G67" i="1"/>
  <c r="E68" i="1"/>
  <c r="E67" i="1"/>
  <c r="I65" i="1"/>
  <c r="I64" i="1"/>
  <c r="G65" i="1"/>
  <c r="G64" i="1"/>
  <c r="E65" i="1"/>
  <c r="E64" i="1"/>
  <c r="E62" i="1"/>
  <c r="I62" i="1"/>
  <c r="I61" i="1"/>
  <c r="G62" i="1"/>
  <c r="G61" i="1"/>
  <c r="G60" i="1" s="1"/>
  <c r="I59" i="1"/>
  <c r="I58" i="1"/>
  <c r="E59" i="1"/>
  <c r="E58" i="1"/>
  <c r="I56" i="1"/>
  <c r="I55" i="1"/>
  <c r="I54" i="1" s="1"/>
  <c r="G56" i="1"/>
  <c r="E56" i="1"/>
  <c r="I53" i="1"/>
  <c r="I52" i="1"/>
  <c r="G53" i="1"/>
  <c r="G52" i="1"/>
  <c r="E52" i="1"/>
  <c r="E53" i="1"/>
  <c r="K49" i="1"/>
  <c r="I49" i="1"/>
  <c r="I48" i="1"/>
  <c r="E46" i="1"/>
  <c r="E45" i="1"/>
  <c r="E42" i="1"/>
  <c r="K43" i="1"/>
  <c r="I43" i="1"/>
  <c r="I42" i="1"/>
  <c r="G43" i="1"/>
  <c r="K40" i="1"/>
  <c r="K39" i="1"/>
  <c r="I40" i="1"/>
  <c r="I39" i="1"/>
  <c r="G40" i="1"/>
  <c r="G39" i="1"/>
  <c r="E43" i="1"/>
  <c r="K37" i="1"/>
  <c r="I37" i="1"/>
  <c r="I36" i="1"/>
  <c r="G37" i="1"/>
  <c r="G36" i="1"/>
  <c r="E37" i="1"/>
  <c r="K34" i="1"/>
  <c r="K33" i="1"/>
  <c r="I34" i="1"/>
  <c r="I33" i="1"/>
  <c r="E34" i="1"/>
  <c r="E33" i="1"/>
  <c r="I31" i="1"/>
  <c r="I30" i="1"/>
  <c r="E31" i="1"/>
  <c r="E30" i="1"/>
  <c r="K28" i="1"/>
  <c r="K27" i="1"/>
  <c r="I28" i="1"/>
  <c r="I27" i="1"/>
  <c r="I26" i="1" s="1"/>
  <c r="I24" i="1"/>
  <c r="G28" i="1"/>
  <c r="E28" i="1"/>
  <c r="E25" i="1"/>
  <c r="K18" i="1"/>
  <c r="K17" i="1"/>
  <c r="I18" i="1"/>
  <c r="I17" i="1"/>
  <c r="E123" i="1"/>
  <c r="E120" i="1"/>
  <c r="E114" i="1"/>
  <c r="E90" i="1"/>
  <c r="E80" i="1"/>
  <c r="E73" i="1"/>
  <c r="E61" i="1"/>
  <c r="E60" i="1" s="1"/>
  <c r="E39" i="1"/>
  <c r="E36" i="1"/>
  <c r="G27" i="1"/>
  <c r="E27" i="1"/>
  <c r="I66" i="1" l="1"/>
  <c r="E119" i="1"/>
  <c r="C82" i="1"/>
  <c r="C26" i="1"/>
  <c r="C119" i="1"/>
  <c r="I16" i="1"/>
  <c r="N30" i="1"/>
  <c r="G101" i="1"/>
  <c r="E66" i="1"/>
  <c r="E32" i="1"/>
  <c r="N43" i="1"/>
  <c r="K16" i="1"/>
  <c r="K32" i="1"/>
  <c r="E57" i="1"/>
  <c r="N143" i="1"/>
  <c r="I41" i="1"/>
  <c r="I92" i="1"/>
  <c r="E116" i="1"/>
  <c r="G26" i="1"/>
  <c r="N144" i="1"/>
  <c r="I69" i="1"/>
  <c r="C44" i="1"/>
  <c r="C116" i="1"/>
  <c r="I89" i="1"/>
  <c r="E44" i="1"/>
  <c r="G54" i="1"/>
  <c r="I113" i="1"/>
  <c r="N39" i="1"/>
  <c r="C72" i="1"/>
  <c r="C66" i="1"/>
  <c r="N27" i="1"/>
  <c r="C69" i="1"/>
  <c r="M35" i="1"/>
  <c r="N137" i="1"/>
  <c r="N139" i="1"/>
  <c r="N142" i="1"/>
  <c r="C140" i="1"/>
  <c r="N140" i="1" s="1"/>
  <c r="C79" i="1"/>
  <c r="C51" i="1"/>
  <c r="E35" i="1"/>
  <c r="N136" i="1"/>
  <c r="N99" i="1"/>
  <c r="I122" i="1"/>
  <c r="I119" i="1"/>
  <c r="N45" i="1"/>
  <c r="C89" i="1"/>
  <c r="C95" i="1"/>
  <c r="N135" i="1"/>
  <c r="C63" i="1"/>
  <c r="I35" i="1"/>
  <c r="I60" i="1"/>
  <c r="C122" i="1"/>
  <c r="G82" i="1"/>
  <c r="G109" i="1"/>
  <c r="E72" i="1"/>
  <c r="E18" i="1"/>
  <c r="E16" i="1" s="1"/>
  <c r="D130" i="1"/>
  <c r="F130" i="1"/>
  <c r="H130" i="1"/>
  <c r="I130" i="1"/>
  <c r="J130" i="1"/>
  <c r="K130" i="1"/>
  <c r="B130" i="1"/>
  <c r="D122" i="1"/>
  <c r="F122" i="1"/>
  <c r="H122" i="1"/>
  <c r="D95" i="1"/>
  <c r="F95" i="1"/>
  <c r="G95" i="1"/>
  <c r="H95" i="1"/>
  <c r="D92" i="1"/>
  <c r="F92" i="1"/>
  <c r="H92" i="1"/>
  <c r="D89" i="1"/>
  <c r="F89" i="1"/>
  <c r="G89" i="1"/>
  <c r="H89" i="1"/>
  <c r="B95" i="1"/>
  <c r="B92" i="1"/>
  <c r="B89" i="1"/>
  <c r="D82" i="1"/>
  <c r="F82" i="1"/>
  <c r="H82" i="1"/>
  <c r="B82" i="1"/>
  <c r="D79" i="1"/>
  <c r="F79" i="1"/>
  <c r="H79" i="1"/>
  <c r="B79" i="1"/>
  <c r="B75" i="1"/>
  <c r="D76" i="1"/>
  <c r="F76" i="1"/>
  <c r="H76" i="1"/>
  <c r="D72" i="1"/>
  <c r="F72" i="1"/>
  <c r="G72" i="1"/>
  <c r="H72" i="1"/>
  <c r="D69" i="1"/>
  <c r="G69" i="1"/>
  <c r="H69" i="1"/>
  <c r="D66" i="1"/>
  <c r="F66" i="1"/>
  <c r="H66" i="1"/>
  <c r="D63" i="1"/>
  <c r="F63" i="1"/>
  <c r="H63" i="1"/>
  <c r="D60" i="1"/>
  <c r="F60" i="1"/>
  <c r="H60" i="1"/>
  <c r="D57" i="1"/>
  <c r="F57" i="1"/>
  <c r="G57" i="1"/>
  <c r="H57" i="1"/>
  <c r="B72" i="1"/>
  <c r="B69" i="1"/>
  <c r="B66" i="1"/>
  <c r="B63" i="1"/>
  <c r="B60" i="1"/>
  <c r="B57" i="1"/>
  <c r="D54" i="1"/>
  <c r="E54" i="1"/>
  <c r="F54" i="1"/>
  <c r="H54" i="1"/>
  <c r="B54" i="1"/>
  <c r="D51" i="1"/>
  <c r="E51" i="1"/>
  <c r="F51" i="1"/>
  <c r="H51" i="1"/>
  <c r="B51" i="1"/>
  <c r="D47" i="1"/>
  <c r="E47" i="1"/>
  <c r="F47" i="1"/>
  <c r="G47" i="1"/>
  <c r="H47" i="1"/>
  <c r="I47" i="1"/>
  <c r="B47" i="1"/>
  <c r="J48" i="1"/>
  <c r="D44" i="1"/>
  <c r="F44" i="1"/>
  <c r="G44" i="1"/>
  <c r="H44" i="1"/>
  <c r="I44" i="1"/>
  <c r="J44" i="1"/>
  <c r="K44" i="1"/>
  <c r="B44" i="1"/>
  <c r="J42" i="1"/>
  <c r="D41" i="1"/>
  <c r="F41" i="1"/>
  <c r="G41" i="1"/>
  <c r="H41" i="1"/>
  <c r="B41" i="1"/>
  <c r="D38" i="1"/>
  <c r="E38" i="1"/>
  <c r="F38" i="1"/>
  <c r="H38" i="1"/>
  <c r="J38" i="1"/>
  <c r="B38" i="1"/>
  <c r="D35" i="1"/>
  <c r="F35" i="1"/>
  <c r="G35" i="1"/>
  <c r="H35" i="1"/>
  <c r="J35" i="1"/>
  <c r="B35" i="1"/>
  <c r="D32" i="1"/>
  <c r="F32" i="1"/>
  <c r="G32" i="1"/>
  <c r="H32" i="1"/>
  <c r="I32" i="1"/>
  <c r="J32" i="1"/>
  <c r="B32" i="1"/>
  <c r="D29" i="1"/>
  <c r="F29" i="1"/>
  <c r="G29" i="1"/>
  <c r="H29" i="1"/>
  <c r="J29" i="1"/>
  <c r="K29" i="1"/>
  <c r="B29" i="1"/>
  <c r="D26" i="1"/>
  <c r="F26" i="1"/>
  <c r="H26" i="1"/>
  <c r="J26" i="1"/>
  <c r="B26" i="1"/>
  <c r="D23" i="1"/>
  <c r="F23" i="1"/>
  <c r="H23" i="1"/>
  <c r="I23" i="1"/>
  <c r="J24" i="1"/>
  <c r="K24" i="1" s="1"/>
  <c r="J74" i="1"/>
  <c r="K74" i="1" s="1"/>
  <c r="J73" i="1"/>
  <c r="J71" i="1"/>
  <c r="K71" i="1" s="1"/>
  <c r="N71" i="1" s="1"/>
  <c r="J70" i="1"/>
  <c r="J68" i="1"/>
  <c r="K68" i="1" s="1"/>
  <c r="J65" i="1"/>
  <c r="K65" i="1" s="1"/>
  <c r="J64" i="1"/>
  <c r="J62" i="1"/>
  <c r="K62" i="1" s="1"/>
  <c r="J61" i="1"/>
  <c r="J59" i="1"/>
  <c r="K59" i="1" s="1"/>
  <c r="J58" i="1"/>
  <c r="K58" i="1" s="1"/>
  <c r="J56" i="1"/>
  <c r="K56" i="1" s="1"/>
  <c r="N56" i="1" s="1"/>
  <c r="J55" i="1"/>
  <c r="N55" i="1" s="1"/>
  <c r="J52" i="1"/>
  <c r="J53" i="1"/>
  <c r="K53" i="1" s="1"/>
  <c r="D77" i="1"/>
  <c r="F77" i="1"/>
  <c r="H77" i="1"/>
  <c r="J81" i="1"/>
  <c r="K81" i="1" s="1"/>
  <c r="J80" i="1"/>
  <c r="K80" i="1" s="1"/>
  <c r="J84" i="1"/>
  <c r="K84" i="1" s="1"/>
  <c r="J100" i="1"/>
  <c r="K100" i="1" s="1"/>
  <c r="J99" i="1"/>
  <c r="J97" i="1"/>
  <c r="J96" i="1"/>
  <c r="K96" i="1" s="1"/>
  <c r="J94" i="1"/>
  <c r="K94" i="1" s="1"/>
  <c r="K93" i="1"/>
  <c r="J90" i="1"/>
  <c r="J91" i="1"/>
  <c r="K91" i="1" s="1"/>
  <c r="G130" i="1"/>
  <c r="D134" i="1"/>
  <c r="E134" i="1"/>
  <c r="F134" i="1"/>
  <c r="G134" i="1"/>
  <c r="H134" i="1"/>
  <c r="I134" i="1"/>
  <c r="J134" i="1"/>
  <c r="K134" i="1"/>
  <c r="B134" i="1"/>
  <c r="B122" i="1"/>
  <c r="D119" i="1"/>
  <c r="F119" i="1"/>
  <c r="H119" i="1"/>
  <c r="B119" i="1"/>
  <c r="D116" i="1"/>
  <c r="F116" i="1"/>
  <c r="G116" i="1"/>
  <c r="H116" i="1"/>
  <c r="I116" i="1"/>
  <c r="B116" i="1"/>
  <c r="D113" i="1"/>
  <c r="F113" i="1"/>
  <c r="G113" i="1"/>
  <c r="H113" i="1"/>
  <c r="B113" i="1"/>
  <c r="D106" i="1"/>
  <c r="F110" i="1"/>
  <c r="F106" i="1" s="1"/>
  <c r="H106" i="1"/>
  <c r="B106" i="1"/>
  <c r="D107" i="1"/>
  <c r="F111" i="1"/>
  <c r="F107" i="1" s="1"/>
  <c r="H107" i="1"/>
  <c r="B107" i="1"/>
  <c r="J124" i="1"/>
  <c r="K124" i="1" s="1"/>
  <c r="N124" i="1" s="1"/>
  <c r="J123" i="1"/>
  <c r="J121" i="1"/>
  <c r="K121" i="1" s="1"/>
  <c r="J120" i="1"/>
  <c r="J118" i="1"/>
  <c r="J117" i="1"/>
  <c r="K117" i="1" s="1"/>
  <c r="K116" i="1" s="1"/>
  <c r="J115" i="1"/>
  <c r="K115" i="1" s="1"/>
  <c r="J114" i="1"/>
  <c r="K114" i="1" s="1"/>
  <c r="D98" i="1"/>
  <c r="F98" i="1"/>
  <c r="G98" i="1"/>
  <c r="H98" i="1"/>
  <c r="I98" i="1"/>
  <c r="B98" i="1"/>
  <c r="F102" i="1"/>
  <c r="H102" i="1"/>
  <c r="F87" i="1"/>
  <c r="F103" i="1" s="1"/>
  <c r="H103" i="1"/>
  <c r="C18" i="1"/>
  <c r="C17" i="1"/>
  <c r="C49" i="1"/>
  <c r="N49" i="1" s="1"/>
  <c r="C109" i="1" l="1"/>
  <c r="N58" i="1"/>
  <c r="N117" i="1"/>
  <c r="N96" i="1"/>
  <c r="N53" i="1"/>
  <c r="N91" i="1"/>
  <c r="N115" i="1"/>
  <c r="N81" i="1"/>
  <c r="K23" i="1"/>
  <c r="N77" i="1"/>
  <c r="G75" i="1"/>
  <c r="G19" i="1"/>
  <c r="I105" i="1"/>
  <c r="I85" i="1"/>
  <c r="G105" i="1"/>
  <c r="I101" i="1"/>
  <c r="C85" i="1"/>
  <c r="J119" i="1"/>
  <c r="D150" i="1"/>
  <c r="E85" i="1"/>
  <c r="E109" i="1"/>
  <c r="N132" i="1"/>
  <c r="E19" i="1"/>
  <c r="C130" i="1"/>
  <c r="I75" i="1"/>
  <c r="J20" i="1"/>
  <c r="J19" i="1" s="1"/>
  <c r="K92" i="1"/>
  <c r="K98" i="1"/>
  <c r="B150" i="1"/>
  <c r="N17" i="1"/>
  <c r="B151" i="1"/>
  <c r="D75" i="1"/>
  <c r="H150" i="1"/>
  <c r="F150" i="1"/>
  <c r="K54" i="1"/>
  <c r="H151" i="1"/>
  <c r="C41" i="1"/>
  <c r="D151" i="1"/>
  <c r="F151" i="1"/>
  <c r="J98" i="1"/>
  <c r="H75" i="1"/>
  <c r="J122" i="1"/>
  <c r="K123" i="1"/>
  <c r="N123" i="1" s="1"/>
  <c r="K113" i="1"/>
  <c r="J82" i="1"/>
  <c r="K83" i="1"/>
  <c r="J51" i="1"/>
  <c r="K52" i="1"/>
  <c r="J79" i="1"/>
  <c r="J89" i="1"/>
  <c r="J63" i="1"/>
  <c r="K64" i="1"/>
  <c r="J72" i="1"/>
  <c r="K73" i="1"/>
  <c r="J57" i="1"/>
  <c r="F75" i="1"/>
  <c r="N134" i="1"/>
  <c r="J95" i="1"/>
  <c r="K97" i="1"/>
  <c r="N97" i="1" s="1"/>
  <c r="J66" i="1"/>
  <c r="K67" i="1"/>
  <c r="J92" i="1"/>
  <c r="K120" i="1"/>
  <c r="K105" i="1" s="1"/>
  <c r="J54" i="1"/>
  <c r="K90" i="1"/>
  <c r="J60" i="1"/>
  <c r="K61" i="1"/>
  <c r="N60" i="1" s="1"/>
  <c r="J69" i="1"/>
  <c r="K70" i="1"/>
  <c r="K48" i="1"/>
  <c r="J47" i="1"/>
  <c r="N79" i="1"/>
  <c r="G85" i="1"/>
  <c r="C47" i="1"/>
  <c r="C29" i="1"/>
  <c r="N29" i="1" s="1"/>
  <c r="J23" i="1"/>
  <c r="J41" i="1"/>
  <c r="K42" i="1"/>
  <c r="K41" i="1" s="1"/>
  <c r="J103" i="1"/>
  <c r="H85" i="1"/>
  <c r="F85" i="1"/>
  <c r="D85" i="1"/>
  <c r="B85" i="1"/>
  <c r="B23" i="1"/>
  <c r="B19" i="1"/>
  <c r="J113" i="1"/>
  <c r="B105" i="1"/>
  <c r="D105" i="1"/>
  <c r="J116" i="1"/>
  <c r="I109" i="1"/>
  <c r="F105" i="1"/>
  <c r="H105" i="1"/>
  <c r="F109" i="1"/>
  <c r="H109" i="1"/>
  <c r="J106" i="1"/>
  <c r="B109" i="1"/>
  <c r="B101" i="1"/>
  <c r="J107" i="1"/>
  <c r="D101" i="1"/>
  <c r="D109" i="1"/>
  <c r="H101" i="1"/>
  <c r="F101" i="1"/>
  <c r="E146" i="1"/>
  <c r="C146" i="1"/>
  <c r="E149" i="1" l="1"/>
  <c r="N109" i="1"/>
  <c r="E105" i="1"/>
  <c r="C149" i="1"/>
  <c r="K95" i="1"/>
  <c r="N95" i="1" s="1"/>
  <c r="N63" i="1"/>
  <c r="N64" i="1"/>
  <c r="N89" i="1"/>
  <c r="K72" i="1"/>
  <c r="N76" i="1"/>
  <c r="N150" i="1" s="1"/>
  <c r="E101" i="1"/>
  <c r="N122" i="1"/>
  <c r="N72" i="1"/>
  <c r="N52" i="1"/>
  <c r="N83" i="1"/>
  <c r="K119" i="1"/>
  <c r="N120" i="1"/>
  <c r="K89" i="1"/>
  <c r="K51" i="1"/>
  <c r="K69" i="1"/>
  <c r="N69" i="1" s="1"/>
  <c r="B149" i="1"/>
  <c r="H149" i="1"/>
  <c r="J151" i="1"/>
  <c r="F149" i="1"/>
  <c r="N130" i="1"/>
  <c r="N48" i="1"/>
  <c r="J75" i="1"/>
  <c r="C23" i="1"/>
  <c r="J109" i="1"/>
  <c r="J102" i="1"/>
  <c r="J150" i="1" s="1"/>
  <c r="J85" i="1"/>
  <c r="D149" i="1"/>
  <c r="J105" i="1"/>
  <c r="N87" i="1" l="1"/>
  <c r="K19" i="1"/>
  <c r="J101" i="1"/>
  <c r="J149" i="1"/>
  <c r="K146" i="1"/>
  <c r="N146" i="1" s="1"/>
  <c r="N19" i="1" l="1"/>
  <c r="K101" i="1"/>
  <c r="N101" i="1" s="1"/>
  <c r="N75" i="1"/>
  <c r="Q15" i="2" l="1"/>
  <c r="R13" i="2"/>
  <c r="R11" i="2"/>
  <c r="P6" i="2"/>
  <c r="P5" i="2"/>
  <c r="P4" i="2"/>
  <c r="R4" i="2" l="1"/>
  <c r="R6" i="2"/>
  <c r="R5" i="2"/>
  <c r="J16" i="1"/>
  <c r="H16" i="1"/>
  <c r="F16" i="1"/>
  <c r="D16" i="1"/>
  <c r="B16" i="1"/>
  <c r="J126" i="1"/>
  <c r="D126" i="1"/>
  <c r="B126" i="1"/>
  <c r="R15" i="2" l="1"/>
  <c r="R16" i="2"/>
  <c r="R3" i="2"/>
  <c r="R7" i="2" s="1"/>
  <c r="R8" i="2" s="1"/>
  <c r="P3" i="2"/>
  <c r="P7" i="2" s="1"/>
  <c r="P8" i="2" s="1"/>
  <c r="K127" i="1"/>
  <c r="I127" i="1"/>
  <c r="E128" i="1"/>
  <c r="K128" i="1"/>
  <c r="I128" i="1"/>
  <c r="N127" i="1" l="1"/>
  <c r="K149" i="1"/>
  <c r="N149" i="1" s="1"/>
  <c r="N151" i="1"/>
  <c r="X15" i="2"/>
  <c r="T16" i="2"/>
  <c r="T7" i="2"/>
  <c r="X16" i="2"/>
  <c r="T8" i="2"/>
  <c r="E126" i="1"/>
  <c r="G16" i="1"/>
  <c r="I126" i="1"/>
  <c r="G126" i="1"/>
  <c r="C16" i="1"/>
  <c r="K126" i="1"/>
  <c r="Z17" i="2" l="1"/>
  <c r="X17" i="2"/>
</calcChain>
</file>

<file path=xl/sharedStrings.xml><?xml version="1.0" encoding="utf-8"?>
<sst xmlns="http://schemas.openxmlformats.org/spreadsheetml/2006/main" count="232" uniqueCount="105">
  <si>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</si>
  <si>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</si>
  <si>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</si>
  <si>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</si>
  <si>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</si>
  <si>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</si>
  <si>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</si>
  <si>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</si>
  <si>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куб. м.</t>
  </si>
  <si>
    <t>МУНИЦИПАЛЬНОЕ УПРАВЛЕНИЕ</t>
  </si>
  <si>
    <t>ВСЕГО:</t>
  </si>
  <si>
    <t>ОБРАЗОВАНИЕ</t>
  </si>
  <si>
    <t>в том числе:</t>
  </si>
  <si>
    <t>КУЛЬТУРА</t>
  </si>
  <si>
    <t>СРЕДСТВА МАССОВОЙ ИНФОРМАЦИИ</t>
  </si>
  <si>
    <t>ПРОЧИЕ</t>
  </si>
  <si>
    <t>п. Стекольный</t>
  </si>
  <si>
    <t>п. Атка</t>
  </si>
  <si>
    <t>п. Талая</t>
  </si>
  <si>
    <t>кВт/час</t>
  </si>
  <si>
    <t>п. Палатка</t>
  </si>
  <si>
    <t>1 полугодие</t>
  </si>
  <si>
    <t>ВСЕГО ПО ОКРУГУ: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</si>
  <si>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</si>
  <si>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</si>
  <si>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</si>
  <si>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</si>
  <si>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</si>
  <si>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</si>
  <si>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</si>
  <si>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</si>
  <si>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</si>
  <si>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</si>
  <si>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</si>
  <si>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</si>
  <si>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</si>
  <si>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</si>
  <si>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</si>
  <si>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</si>
  <si>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СПОРТ</t>
  </si>
  <si>
    <t>2 полугодие</t>
  </si>
  <si>
    <t>палатка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</si>
  <si>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</si>
  <si>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</si>
  <si>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</si>
  <si>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</si>
  <si>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</si>
  <si>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</si>
  <si>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</si>
  <si>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</si>
  <si>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</si>
  <si>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</si>
  <si>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</si>
  <si>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</si>
  <si>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</si>
  <si>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</si>
  <si>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</si>
  <si>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</si>
  <si>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вывоз ТКО</t>
  </si>
  <si>
    <t>Вывоз ТКО</t>
  </si>
  <si>
    <t>п. Хасын</t>
  </si>
  <si>
    <t>к постановлению Администрации</t>
  </si>
  <si>
    <t xml:space="preserve">Отдел ЗАГС Администрации Хасынского муниципального округа Магаданской области, п. Палатка, ул. Космонавтов, д. 11  </t>
  </si>
  <si>
    <t xml:space="preserve">Муниципальное бюджетное дошкольное образовательное учереждение «Светлячок», п. Стекольный, ул. Зеленая, д. 18        </t>
  </si>
  <si>
    <t>Муниципальное бюджетное дошкольное образовательное учереждение «Детский сад» п. Хасын, ул. Геологов, д. 39</t>
  </si>
  <si>
    <t>Муниципальное бюджетное образовательное учереждение «СОШ» п. Стекольный, ул. Советская, д. 10</t>
  </si>
  <si>
    <t>Муниципальное бюджетное учреждение культуры «Дом культуры пос. Стекольный», п. Стекольный, ул. Советская, д. 7</t>
  </si>
  <si>
    <t>Муниципальное бюджетное учреждение культуры «Хасынская централизованная библиотечная система», п. Палатка, ул. Юбилейная, д. 10</t>
  </si>
  <si>
    <t>Центральная библиотека                        п. Палатка, ул. Юбилейная, д. 10</t>
  </si>
  <si>
    <t>Библиотека-филиал № 1 п. Стекольный</t>
  </si>
  <si>
    <t>Библиотека-филиал № 2 п. Талая</t>
  </si>
  <si>
    <t>Пункт выдачи в п. Хасын</t>
  </si>
  <si>
    <t>Муниципальное бюджетное учреждение дополнительного образования 
«Хасынская спортивная школа»
п. Палатка, ул. Почтовая, д. 1</t>
  </si>
  <si>
    <t>Муниципальное казенное учреждение Физкультурно-оздоровительный комплекс с плавательным бассейном «Арбат»,
п. Палатка, ул. Почтовая, д. 4</t>
  </si>
  <si>
    <t>Муниципальное казенное учреждение «Физкультурно-оздоровительный комплекс «Олимп», п. Палатка, ул. Почтовая, д. 7</t>
  </si>
  <si>
    <t>Комитет жизнеобеспечения территории Администрации 
Хасынского муниципального округа Магаданской области                                (уличное освещение)</t>
  </si>
  <si>
    <t>Комитет по управлению муниципальным имуществом Хасынского 
муниципального округа Магаданской области                                  (пустующий жилфонд)</t>
  </si>
  <si>
    <t xml:space="preserve">Муниципальное автономное учреждение «Редакция газеты «Заря Севера» Хасынского муниципального округа», п. Палатка, ул. Центральная, д. 30                                              </t>
  </si>
  <si>
    <t>Лимиты потребления энергоресурсов и коммунальных услуг на 2027 год</t>
  </si>
  <si>
    <t>Тарифы на 2027 год</t>
  </si>
  <si>
    <t xml:space="preserve">БАНЯ , п. Палатка, ул. Пионерская, д. 24    </t>
  </si>
  <si>
    <t xml:space="preserve">     Хасынского муниципального </t>
  </si>
  <si>
    <t xml:space="preserve">            Приложение № 3</t>
  </si>
  <si>
    <t xml:space="preserve">      округа Магаданской области</t>
  </si>
  <si>
    <t xml:space="preserve">       от _____________ № ____</t>
  </si>
  <si>
    <t>тыс.      рублей</t>
  </si>
  <si>
    <t>рублей</t>
  </si>
  <si>
    <t>тыс. рублей</t>
  </si>
  <si>
    <t>Итого, тыс. рублей</t>
  </si>
  <si>
    <t xml:space="preserve">Муниципальное казенное учреждение «Централизованная бухгалтерия 
Хасынского муниципального округа Магаданской области»
п. Палатка, ул. Ленина, д. 74
</t>
  </si>
  <si>
    <t>Здание Администрации Хасынского муниципального округа Магаданской области , п. Палатка, ул. Ленина,           д. 76</t>
  </si>
  <si>
    <t>Собрание представителей Хасынского муниципального округа Магаданской области, п. Палатка,  ул. Центральная, д. 24</t>
  </si>
  <si>
    <t>Территориальный отдел п. Стекольный Администрации 
Хасынского муниципального округа Магаданской области
п. Стекольный, ул. Советская, д. 5</t>
  </si>
  <si>
    <t>Территориальный отдел п. Талая Администрации Хасынского 
муниципального округа Магаданской области
п. Талая, ул. Зеленая, д. 6</t>
  </si>
  <si>
    <t>Муниципальное бюджетное образовательное учереждение «СОШ № 2» п. Палатка, ул. Ленина,  д. 1</t>
  </si>
  <si>
    <t>ГАРАЖИ (п. Палатка: ул. Юбилейная, д. 21, д. 25, ул. Школьная, д. 5, ул. Юбилейная,        д. 16, ул. Ленина, д. 74, д. 76)</t>
  </si>
  <si>
    <t>Муниципальное бюджетное образовательное учереждение «СОШ» п. Талая, ул. Зеленая, д. 4</t>
  </si>
  <si>
    <t>Муниципальное бюджетное учереждение дополнительного образования «Хасынский центр детского творчества», п. Палатка, ул. Школьная, д. 7</t>
  </si>
  <si>
    <t>Муниципальное бюджетное учереждение культуры «Дом культуры Хасынского муниципального округа Магаданской области», п. Палатка, ул. Ленина, д. 80</t>
  </si>
  <si>
    <t>Муниципальное бюджетное учреждение дополнительного образования 
«Хасынская спортивная школа»        п. Палатка</t>
  </si>
  <si>
    <t>Объект Муниципальное бюджетное учреждение дополнительного образования 
«Хасынская спортивная школа»      п. Хасын</t>
  </si>
  <si>
    <t>Муниципальное казенное учереждение «Управление по обеспечению деятельности органов местного самоуправления Хасынского муниципального округа Магаданской области», п. Палатка, ул. Юбилейная, д. 16</t>
  </si>
  <si>
    <t>Здание Муниципального казенного учереждения «Управление по обеспечению деятельности органов местного самоуправления Хасынского муниципального округа Магаданской области», п. Палатка, ул. Юбилейная, д. 16</t>
  </si>
  <si>
    <t>Муниципальное бюджетное дошкольное образовательное учереждение «Детский сад № 1», п. Палатка, ул. Юбилейная, д. 16а</t>
  </si>
  <si>
    <t xml:space="preserve">Муниципальное бюджетное образовательное учереждение «СОШ № 1» п. Палатка, ул. Ленина, д. 44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</si>
</sst>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9C65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114">
    <xf numFmtId="0" fontId="0" fillId="0" borderId="0" xfId="0"/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/>
    <xf numFmtId="0" fontId="2" fillId="3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3" borderId="19" xfId="0" applyNumberFormat="1" applyFont="1" applyFill="1" applyBorder="1" applyAlignment="1">
      <alignment horizontal="center" vertical="center"/>
    </xf>
    <xf numFmtId="165" fontId="4" fillId="3" borderId="30" xfId="0" applyNumberFormat="1" applyFont="1" applyFill="1" applyBorder="1" applyAlignment="1">
      <alignment horizontal="center" vertical="center"/>
    </xf>
    <xf numFmtId="165" fontId="2" fillId="3" borderId="28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24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7" fillId="4" borderId="24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/>
    </xf>
    <xf numFmtId="165" fontId="7" fillId="4" borderId="29" xfId="0" applyNumberFormat="1" applyFont="1" applyFill="1" applyBorder="1" applyAlignment="1">
      <alignment horizontal="center" vertical="center"/>
    </xf>
    <xf numFmtId="165" fontId="7" fillId="4" borderId="8" xfId="0" applyNumberFormat="1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2" fillId="3" borderId="34" xfId="0" applyNumberFormat="1" applyFont="1" applyFill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center" vertical="center"/>
    </xf>
    <xf numFmtId="165" fontId="4" fillId="6" borderId="3" xfId="0" applyNumberFormat="1" applyFont="1" applyFill="1" applyBorder="1" applyAlignment="1">
      <alignment horizontal="center" vertical="center"/>
    </xf>
    <xf numFmtId="165" fontId="8" fillId="6" borderId="20" xfId="0" applyNumberFormat="1" applyFont="1" applyFill="1" applyBorder="1" applyAlignment="1">
      <alignment horizontal="center" vertical="center"/>
    </xf>
    <xf numFmtId="165" fontId="8" fillId="6" borderId="31" xfId="0" applyNumberFormat="1" applyFont="1" applyFill="1" applyBorder="1" applyAlignment="1">
      <alignment horizontal="center" vertical="center"/>
    </xf>
    <xf numFmtId="165" fontId="8" fillId="6" borderId="32" xfId="0" applyNumberFormat="1" applyFont="1" applyFill="1" applyBorder="1" applyAlignment="1">
      <alignment horizontal="center" vertical="center"/>
    </xf>
    <xf numFmtId="165" fontId="4" fillId="6" borderId="21" xfId="0" applyNumberFormat="1" applyFont="1" applyFill="1" applyBorder="1" applyAlignment="1">
      <alignment horizontal="center" vertical="center"/>
    </xf>
    <xf numFmtId="165" fontId="4" fillId="6" borderId="20" xfId="0" applyNumberFormat="1" applyFont="1" applyFill="1" applyBorder="1" applyAlignment="1">
      <alignment horizontal="center" vertical="center"/>
    </xf>
    <xf numFmtId="165" fontId="4" fillId="6" borderId="31" xfId="0" applyNumberFormat="1" applyFont="1" applyFill="1" applyBorder="1" applyAlignment="1">
      <alignment horizontal="center" vertical="center"/>
    </xf>
    <xf numFmtId="165" fontId="4" fillId="6" borderId="13" xfId="0" applyNumberFormat="1" applyFont="1" applyFill="1" applyBorder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2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5" fontId="20" fillId="0" borderId="11" xfId="1" applyNumberFormat="1" applyFont="1" applyFill="1" applyBorder="1" applyAlignment="1">
      <alignment horizontal="center" vertical="center" wrapText="1"/>
    </xf>
    <xf numFmtId="164" fontId="18" fillId="0" borderId="0" xfId="1" applyNumberFormat="1" applyFont="1" applyFill="1"/>
    <xf numFmtId="164" fontId="16" fillId="0" borderId="0" xfId="0" applyNumberFormat="1" applyFont="1"/>
    <xf numFmtId="164" fontId="13" fillId="0" borderId="0" xfId="0" applyNumberFormat="1" applyFont="1"/>
    <xf numFmtId="164" fontId="3" fillId="0" borderId="0" xfId="0" applyNumberFormat="1" applyFont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21" fillId="0" borderId="0" xfId="0" applyNumberFormat="1" applyFont="1" applyFill="1" applyAlignment="1">
      <alignment horizontal="center" vertical="center"/>
    </xf>
    <xf numFmtId="1" fontId="12" fillId="0" borderId="6" xfId="0" applyNumberFormat="1" applyFont="1" applyFill="1" applyBorder="1" applyAlignment="1">
      <alignment horizontal="center" vertical="center" wrapText="1"/>
    </xf>
    <xf numFmtId="1" fontId="12" fillId="0" borderId="7" xfId="0" applyNumberFormat="1" applyFont="1" applyFill="1" applyBorder="1" applyAlignment="1">
      <alignment horizontal="center" vertical="center" wrapText="1"/>
    </xf>
    <xf numFmtId="165" fontId="20" fillId="0" borderId="11" xfId="0" applyNumberFormat="1" applyFont="1" applyFill="1" applyBorder="1" applyAlignment="1">
      <alignment horizontal="center" vertical="center" wrapText="1" shrinkToFit="1"/>
    </xf>
    <xf numFmtId="165" fontId="12" fillId="0" borderId="5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20" fillId="0" borderId="11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 shrinkToFit="1"/>
    </xf>
    <xf numFmtId="165" fontId="12" fillId="0" borderId="11" xfId="0" applyNumberFormat="1" applyFont="1" applyFill="1" applyBorder="1" applyAlignment="1">
      <alignment horizontal="center" vertical="center" wrapText="1"/>
    </xf>
    <xf numFmtId="165" fontId="22" fillId="0" borderId="11" xfId="0" applyNumberFormat="1" applyFont="1" applyFill="1" applyBorder="1" applyAlignment="1">
      <alignment horizontal="center" vertical="center" wrapText="1"/>
    </xf>
    <xf numFmtId="165" fontId="17" fillId="0" borderId="5" xfId="0" applyNumberFormat="1" applyFont="1" applyFill="1" applyBorder="1" applyAlignment="1">
      <alignment horizontal="center" vertical="center" wrapText="1"/>
    </xf>
    <xf numFmtId="165" fontId="17" fillId="0" borderId="6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 wrapText="1"/>
    </xf>
    <xf numFmtId="165" fontId="12" fillId="0" borderId="4" xfId="0" applyNumberFormat="1" applyFont="1" applyFill="1" applyBorder="1" applyAlignment="1">
      <alignment horizontal="center" vertical="center" wrapText="1"/>
    </xf>
    <xf numFmtId="164" fontId="23" fillId="0" borderId="0" xfId="0" applyNumberFormat="1" applyFont="1"/>
    <xf numFmtId="165" fontId="20" fillId="0" borderId="11" xfId="0" applyNumberFormat="1" applyFont="1" applyFill="1" applyBorder="1" applyAlignment="1">
      <alignment horizontal="left" vertical="center" wrapText="1"/>
    </xf>
    <xf numFmtId="165" fontId="12" fillId="0" borderId="7" xfId="0" applyNumberFormat="1" applyFont="1" applyFill="1" applyBorder="1" applyAlignment="1">
      <alignment horizontal="center" vertical="center" wrapText="1"/>
    </xf>
    <xf numFmtId="165" fontId="12" fillId="0" borderId="15" xfId="0" applyNumberFormat="1" applyFont="1" applyFill="1" applyBorder="1" applyAlignment="1">
      <alignment horizontal="center" vertical="center" wrapText="1"/>
    </xf>
    <xf numFmtId="165" fontId="12" fillId="0" borderId="12" xfId="0" applyNumberFormat="1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left" vertical="center" wrapText="1"/>
    </xf>
    <xf numFmtId="165" fontId="16" fillId="0" borderId="15" xfId="0" applyNumberFormat="1" applyFont="1" applyFill="1" applyBorder="1" applyAlignment="1">
      <alignment horizontal="left" vertical="center" wrapText="1"/>
    </xf>
    <xf numFmtId="165" fontId="16" fillId="0" borderId="12" xfId="0" applyNumberFormat="1" applyFont="1" applyFill="1" applyBorder="1" applyAlignment="1">
      <alignment horizontal="left" vertical="center" wrapText="1"/>
    </xf>
    <xf numFmtId="164" fontId="12" fillId="0" borderId="14" xfId="0" applyNumberFormat="1" applyFont="1" applyFill="1" applyBorder="1" applyAlignment="1">
      <alignment horizontal="center" vertical="center" wrapText="1"/>
    </xf>
    <xf numFmtId="164" fontId="12" fillId="0" borderId="18" xfId="0" applyNumberFormat="1" applyFont="1" applyFill="1" applyBorder="1" applyAlignment="1">
      <alignment horizontal="center" vertical="center" wrapText="1"/>
    </xf>
    <xf numFmtId="164" fontId="12" fillId="0" borderId="11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15" xfId="0" applyNumberFormat="1" applyFont="1" applyFill="1" applyBorder="1" applyAlignment="1">
      <alignment horizontal="center" vertical="center" wrapText="1"/>
    </xf>
    <xf numFmtId="164" fontId="12" fillId="0" borderId="12" xfId="0" applyNumberFormat="1" applyFont="1" applyFill="1" applyBorder="1" applyAlignment="1">
      <alignment horizontal="center" vertical="center" wrapText="1"/>
    </xf>
    <xf numFmtId="165" fontId="12" fillId="0" borderId="5" xfId="0" applyNumberFormat="1" applyFont="1" applyFill="1" applyBorder="1" applyAlignment="1">
      <alignment horizontal="center" vertical="center" wrapText="1"/>
    </xf>
    <xf numFmtId="165" fontId="16" fillId="0" borderId="15" xfId="0" applyNumberFormat="1" applyFont="1" applyFill="1" applyBorder="1" applyAlignment="1">
      <alignment horizontal="center" vertical="center" wrapText="1"/>
    </xf>
    <xf numFmtId="165" fontId="16" fillId="0" borderId="12" xfId="0" applyNumberFormat="1" applyFont="1" applyFill="1" applyBorder="1" applyAlignment="1">
      <alignment horizontal="center" vertical="center" wrapText="1"/>
    </xf>
    <xf numFmtId="165" fontId="13" fillId="0" borderId="12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164" fontId="12" fillId="0" borderId="16" xfId="0" applyNumberFormat="1" applyFont="1" applyFill="1" applyBorder="1" applyAlignment="1">
      <alignment horizontal="center" vertical="center" wrapText="1"/>
    </xf>
    <xf numFmtId="164" fontId="12" fillId="0" borderId="17" xfId="0" applyNumberFormat="1" applyFont="1" applyFill="1" applyBorder="1" applyAlignment="1">
      <alignment horizontal="center" vertical="center" wrapText="1"/>
    </xf>
    <xf numFmtId="164" fontId="13" fillId="0" borderId="18" xfId="0" applyNumberFormat="1" applyFont="1" applyFill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5"/>
  <sheetViews>
    <sheetView tabSelected="1" topLeftCell="A46" zoomScale="73" zoomScaleNormal="73" workbookViewId="0">
      <selection activeCell="S54" sqref="S54"/>
    </sheetView>
  </sheetViews>
  <sheetFormatPr defaultRowHeight="18.75" x14ac:dyDescent="0.3"/>
  <cols>
    <col min="1" max="1" width="41.5703125" style="49" customWidth="1"/>
    <col min="2" max="2" width="10.42578125" style="50" customWidth="1"/>
    <col min="3" max="3" width="10.7109375" style="50" customWidth="1"/>
    <col min="4" max="4" width="12" style="50" customWidth="1"/>
    <col min="5" max="5" width="13" style="50" customWidth="1"/>
    <col min="6" max="6" width="11.5703125" style="50" customWidth="1"/>
    <col min="7" max="7" width="11.7109375" style="50" customWidth="1"/>
    <col min="8" max="8" width="11.5703125" style="50" customWidth="1"/>
    <col min="9" max="9" width="10.42578125" style="50" customWidth="1"/>
    <col min="10" max="10" width="12.140625" style="50" customWidth="1"/>
    <col min="11" max="11" width="10.85546875" style="50" customWidth="1"/>
    <col min="12" max="12" width="9.5703125" style="50" customWidth="1"/>
    <col min="13" max="13" width="11.7109375" style="50" customWidth="1"/>
    <col min="14" max="14" width="15.5703125" style="50" customWidth="1"/>
    <col min="15" max="15" width="9.7109375" style="50" customWidth="1"/>
    <col min="16" max="16" width="12.42578125" style="50" customWidth="1"/>
    <col min="17" max="17" width="9.140625" style="50"/>
    <col min="18" max="18" width="14" style="50" customWidth="1"/>
    <col min="19" max="19" width="25.7109375" style="50" customWidth="1"/>
    <col min="20" max="16384" width="9.140625" style="50"/>
  </cols>
  <sheetData>
    <row r="1" spans="1:16" x14ac:dyDescent="0.3">
      <c r="L1" s="76" t="s">
        <v>82</v>
      </c>
      <c r="M1" s="76"/>
      <c r="N1" s="76"/>
    </row>
    <row r="2" spans="1:16" x14ac:dyDescent="0.3">
      <c r="L2" s="76" t="s">
        <v>61</v>
      </c>
      <c r="M2" s="76"/>
      <c r="N2" s="76"/>
    </row>
    <row r="3" spans="1:16" x14ac:dyDescent="0.3">
      <c r="L3" s="76" t="s">
        <v>81</v>
      </c>
      <c r="M3" s="76"/>
      <c r="N3" s="76"/>
    </row>
    <row r="4" spans="1:16" x14ac:dyDescent="0.3">
      <c r="L4" s="76" t="s">
        <v>83</v>
      </c>
      <c r="M4" s="76"/>
      <c r="N4" s="76"/>
    </row>
    <row r="5" spans="1:16" x14ac:dyDescent="0.3">
      <c r="L5" s="76" t="s">
        <v>84</v>
      </c>
      <c r="M5" s="76"/>
      <c r="N5" s="76"/>
    </row>
    <row r="7" spans="1:16" ht="15.75" customHeight="1" x14ac:dyDescent="0.3">
      <c r="H7" s="94"/>
      <c r="I7" s="94"/>
      <c r="J7" s="94"/>
      <c r="K7" s="94"/>
      <c r="L7" s="94"/>
      <c r="M7" s="94"/>
      <c r="N7" s="94"/>
    </row>
    <row r="8" spans="1:16" ht="15.75" customHeight="1" x14ac:dyDescent="0.3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</row>
    <row r="9" spans="1:16" ht="15.75" customHeight="1" x14ac:dyDescent="0.3">
      <c r="A9" s="99" t="s">
        <v>78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</row>
    <row r="10" spans="1:16" ht="15" customHeight="1" thickBot="1" x14ac:dyDescent="0.35">
      <c r="H10" s="94"/>
      <c r="I10" s="94"/>
      <c r="J10" s="94"/>
      <c r="K10" s="94"/>
      <c r="L10" s="94"/>
      <c r="M10" s="94"/>
      <c r="N10" s="94"/>
    </row>
    <row r="11" spans="1:16" ht="15" customHeight="1" thickBot="1" x14ac:dyDescent="0.35">
      <c r="A11" s="84" t="s">
        <v>0</v>
      </c>
      <c r="B11" s="87" t="s">
        <v>1</v>
      </c>
      <c r="C11" s="88"/>
      <c r="D11" s="87" t="s">
        <v>2</v>
      </c>
      <c r="E11" s="89"/>
      <c r="F11" s="87" t="s">
        <v>3</v>
      </c>
      <c r="G11" s="89"/>
      <c r="H11" s="87" t="s">
        <v>4</v>
      </c>
      <c r="I11" s="89"/>
      <c r="J11" s="87" t="s">
        <v>5</v>
      </c>
      <c r="K11" s="89"/>
      <c r="L11" s="87" t="s">
        <v>58</v>
      </c>
      <c r="M11" s="89"/>
      <c r="N11" s="84" t="s">
        <v>88</v>
      </c>
    </row>
    <row r="12" spans="1:16" ht="15" customHeight="1" x14ac:dyDescent="0.3">
      <c r="A12" s="85"/>
      <c r="B12" s="59" t="s">
        <v>7</v>
      </c>
      <c r="C12" s="95" t="s">
        <v>85</v>
      </c>
      <c r="D12" s="84" t="s">
        <v>6</v>
      </c>
      <c r="E12" s="59" t="s">
        <v>7</v>
      </c>
      <c r="F12" s="84" t="s">
        <v>6</v>
      </c>
      <c r="G12" s="59" t="s">
        <v>7</v>
      </c>
      <c r="H12" s="84" t="s">
        <v>8</v>
      </c>
      <c r="I12" s="59" t="s">
        <v>7</v>
      </c>
      <c r="J12" s="84" t="s">
        <v>8</v>
      </c>
      <c r="K12" s="59" t="s">
        <v>7</v>
      </c>
      <c r="L12" s="84" t="s">
        <v>8</v>
      </c>
      <c r="M12" s="84" t="s">
        <v>87</v>
      </c>
      <c r="N12" s="97"/>
    </row>
    <row r="13" spans="1:16" ht="35.25" customHeight="1" thickBot="1" x14ac:dyDescent="0.35">
      <c r="A13" s="86"/>
      <c r="B13" s="60" t="s">
        <v>19</v>
      </c>
      <c r="C13" s="96"/>
      <c r="D13" s="86"/>
      <c r="E13" s="60" t="s">
        <v>86</v>
      </c>
      <c r="F13" s="86"/>
      <c r="G13" s="60" t="s">
        <v>86</v>
      </c>
      <c r="H13" s="86"/>
      <c r="I13" s="60" t="s">
        <v>86</v>
      </c>
      <c r="J13" s="86"/>
      <c r="K13" s="60" t="s">
        <v>86</v>
      </c>
      <c r="L13" s="86"/>
      <c r="M13" s="86"/>
      <c r="N13" s="98"/>
    </row>
    <row r="14" spans="1:16" ht="15" customHeight="1" thickBot="1" x14ac:dyDescent="0.35">
      <c r="A14" s="61"/>
      <c r="B14" s="62">
        <v>2</v>
      </c>
      <c r="C14" s="63">
        <v>3</v>
      </c>
      <c r="D14" s="62">
        <v>4</v>
      </c>
      <c r="E14" s="62">
        <v>5</v>
      </c>
      <c r="F14" s="62">
        <v>6</v>
      </c>
      <c r="G14" s="62">
        <v>7</v>
      </c>
      <c r="H14" s="62">
        <v>8</v>
      </c>
      <c r="I14" s="62">
        <v>9</v>
      </c>
      <c r="J14" s="62">
        <v>10</v>
      </c>
      <c r="K14" s="62">
        <v>11</v>
      </c>
      <c r="L14" s="62">
        <v>12</v>
      </c>
      <c r="M14" s="62">
        <v>13</v>
      </c>
      <c r="N14" s="62">
        <v>14</v>
      </c>
    </row>
    <row r="15" spans="1:16" ht="28.5" customHeight="1" thickBot="1" x14ac:dyDescent="0.35">
      <c r="A15" s="87" t="s">
        <v>9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9"/>
    </row>
    <row r="16" spans="1:16" ht="132.94999999999999" customHeight="1" thickBot="1" x14ac:dyDescent="0.35">
      <c r="A16" s="64" t="s">
        <v>89</v>
      </c>
      <c r="B16" s="65">
        <f>SUM(B17:B18)</f>
        <v>0</v>
      </c>
      <c r="C16" s="66">
        <f>SUM(C17:C18)</f>
        <v>0</v>
      </c>
      <c r="D16" s="65">
        <f t="shared" ref="D16:J16" si="0">SUM(D17:D18)</f>
        <v>25.7</v>
      </c>
      <c r="E16" s="65">
        <f>SUM(E17:E18)</f>
        <v>271.28637599999996</v>
      </c>
      <c r="F16" s="65">
        <f t="shared" si="0"/>
        <v>0</v>
      </c>
      <c r="G16" s="65">
        <f t="shared" si="0"/>
        <v>0</v>
      </c>
      <c r="H16" s="65">
        <f t="shared" si="0"/>
        <v>35.6</v>
      </c>
      <c r="I16" s="65">
        <f>SUM(I17:I18)</f>
        <v>3.2274959999999995</v>
      </c>
      <c r="J16" s="65">
        <f t="shared" si="0"/>
        <v>35.6</v>
      </c>
      <c r="K16" s="65">
        <f>SUM(K17:K18)</f>
        <v>6.1281840000000001</v>
      </c>
      <c r="L16" s="65">
        <f>SUM(L17:L18)</f>
        <v>27</v>
      </c>
      <c r="M16" s="65">
        <f>SUM(M17:M18)-0.1</f>
        <v>14.866100000000001</v>
      </c>
      <c r="N16" s="65">
        <f>SUM(C16,E16,G16,I16,K16)+M16</f>
        <v>295.50815599999993</v>
      </c>
      <c r="O16" s="52"/>
      <c r="P16" s="53"/>
    </row>
    <row r="17" spans="1:16" ht="28.5" customHeight="1" thickBot="1" x14ac:dyDescent="0.35">
      <c r="A17" s="64" t="s">
        <v>21</v>
      </c>
      <c r="B17" s="65">
        <v>0</v>
      </c>
      <c r="C17" s="66">
        <f>B17*8.14</f>
        <v>0</v>
      </c>
      <c r="D17" s="65">
        <v>15</v>
      </c>
      <c r="E17" s="65">
        <f>D17*ТАРИФЫ!F5/1000</f>
        <v>156.60719999999998</v>
      </c>
      <c r="F17" s="65">
        <v>0</v>
      </c>
      <c r="G17" s="65">
        <v>0</v>
      </c>
      <c r="H17" s="65">
        <v>17.8</v>
      </c>
      <c r="I17" s="65">
        <f>H17*ТАРИФЫ!F10/1000</f>
        <v>1.5827759999999997</v>
      </c>
      <c r="J17" s="65">
        <v>17.8</v>
      </c>
      <c r="K17" s="65">
        <f>J17*ТАРИФЫ!F15/1000</f>
        <v>3.00108</v>
      </c>
      <c r="L17" s="65">
        <v>13.5</v>
      </c>
      <c r="M17" s="65">
        <f>L17*ТАРИФЫ!D26/1000</f>
        <v>7.24275</v>
      </c>
      <c r="N17" s="65">
        <f>SUM(C17,E17,G17,I17,K17)+M17</f>
        <v>168.43380599999998</v>
      </c>
      <c r="O17" s="52"/>
      <c r="P17" s="53"/>
    </row>
    <row r="18" spans="1:16" ht="28.5" customHeight="1" thickBot="1" x14ac:dyDescent="0.35">
      <c r="A18" s="64" t="s">
        <v>40</v>
      </c>
      <c r="B18" s="65">
        <v>0</v>
      </c>
      <c r="C18" s="66">
        <f>B18*8.14</f>
        <v>0</v>
      </c>
      <c r="D18" s="65">
        <v>10.7</v>
      </c>
      <c r="E18" s="65">
        <f>D18*ТАРИФЫ!G5/1000</f>
        <v>114.67917599999998</v>
      </c>
      <c r="F18" s="65">
        <v>0</v>
      </c>
      <c r="G18" s="65">
        <v>0</v>
      </c>
      <c r="H18" s="65">
        <v>17.8</v>
      </c>
      <c r="I18" s="65">
        <f>H18*ТАРИФЫ!G10/1000</f>
        <v>1.64472</v>
      </c>
      <c r="J18" s="65">
        <v>17.8</v>
      </c>
      <c r="K18" s="65">
        <f>J18*ТАРИФЫ!G15/1000</f>
        <v>3.1271040000000001</v>
      </c>
      <c r="L18" s="65">
        <v>13.5</v>
      </c>
      <c r="M18" s="65">
        <f>L18*ТАРИФЫ!E26/1000</f>
        <v>7.7233499999999999</v>
      </c>
      <c r="N18" s="65">
        <f>SUM(C18,E18,G18,I18,K18)+M18-0.1</f>
        <v>127.07435</v>
      </c>
      <c r="O18" s="52"/>
      <c r="P18" s="53"/>
    </row>
    <row r="19" spans="1:16" ht="112.5" customHeight="1" thickBot="1" x14ac:dyDescent="0.35">
      <c r="A19" s="64" t="s">
        <v>101</v>
      </c>
      <c r="B19" s="65">
        <f>B20+B21</f>
        <v>237.7</v>
      </c>
      <c r="C19" s="65">
        <f>C20+C21</f>
        <v>2651.0892800000001</v>
      </c>
      <c r="D19" s="65">
        <f t="shared" ref="D19:L19" si="1">D20+D21</f>
        <v>998.19999999999993</v>
      </c>
      <c r="E19" s="65">
        <f>E20+E21</f>
        <v>12200.872076</v>
      </c>
      <c r="F19" s="65">
        <f t="shared" si="1"/>
        <v>28.200000000000003</v>
      </c>
      <c r="G19" s="65">
        <f>G20+G21</f>
        <v>297.89741599999996</v>
      </c>
      <c r="H19" s="65">
        <f t="shared" si="1"/>
        <v>2277.6999999999998</v>
      </c>
      <c r="I19" s="65">
        <f>I20+I21</f>
        <v>208.48776799999996</v>
      </c>
      <c r="J19" s="65">
        <f t="shared" si="1"/>
        <v>2277.6999999999998</v>
      </c>
      <c r="K19" s="65">
        <f t="shared" si="1"/>
        <v>389.09424799999999</v>
      </c>
      <c r="L19" s="65">
        <f t="shared" si="1"/>
        <v>207.40000000000003</v>
      </c>
      <c r="M19" s="65">
        <f>M20+M21-0.1</f>
        <v>114.86182000000002</v>
      </c>
      <c r="N19" s="65">
        <f>N20+N21</f>
        <v>15862.402607999999</v>
      </c>
      <c r="O19" s="53"/>
      <c r="P19" s="53"/>
    </row>
    <row r="20" spans="1:16" ht="28.5" customHeight="1" thickBot="1" x14ac:dyDescent="0.35">
      <c r="A20" s="67" t="s">
        <v>21</v>
      </c>
      <c r="B20" s="65">
        <f>B24+B27+B30+B33+B36+B39+B42+B45+B48</f>
        <v>134.10000000000002</v>
      </c>
      <c r="C20" s="65">
        <f>C24+C27+C30+C33+C36+C39+C42+C45+C48-0.1</f>
        <v>1480.7840000000001</v>
      </c>
      <c r="D20" s="65">
        <f t="shared" ref="D20:L20" si="2">D24+D27+D30+D33+D36+D39+D42+D45+D48</f>
        <v>588.09999999999991</v>
      </c>
      <c r="E20" s="65">
        <f>E24+E27+E30+E33+E36+E39+E42+E45+E48+0.1</f>
        <v>7121.5987479999994</v>
      </c>
      <c r="F20" s="65">
        <f t="shared" si="2"/>
        <v>15.3</v>
      </c>
      <c r="G20" s="65">
        <f>G24+G27+G30+G33+G36+G39+G42+G45+G48</f>
        <v>159.73934399999999</v>
      </c>
      <c r="H20" s="65">
        <f t="shared" si="2"/>
        <v>1070.6000000000001</v>
      </c>
      <c r="I20" s="65">
        <f>I24+I27+I30+I33+I36+I39+I42+I45+I48-0.1</f>
        <v>96.35802799999999</v>
      </c>
      <c r="J20" s="65">
        <f t="shared" si="2"/>
        <v>1070.6000000000001</v>
      </c>
      <c r="K20" s="65">
        <f>K24+K27+K30+K33+K36+K39+K42+K45+K48</f>
        <v>179.010516</v>
      </c>
      <c r="L20" s="65">
        <f t="shared" si="2"/>
        <v>103.70000000000002</v>
      </c>
      <c r="M20" s="65">
        <f>M24+M27+M30+M33+M36+M39+M42+M45+M48</f>
        <v>55.635050000000007</v>
      </c>
      <c r="N20" s="65">
        <f>N24+N27+N30+N33+N36+N39+N42+N45+N48</f>
        <v>9093.1256859999994</v>
      </c>
      <c r="O20" s="53"/>
      <c r="P20" s="53"/>
    </row>
    <row r="21" spans="1:16" ht="28.5" customHeight="1" thickBot="1" x14ac:dyDescent="0.35">
      <c r="A21" s="67" t="s">
        <v>40</v>
      </c>
      <c r="B21" s="65">
        <f>B25+B28+B31+B34+B37+B40+B43+B46+B49</f>
        <v>103.59999999999998</v>
      </c>
      <c r="C21" s="65">
        <f>C25+C28+C31+C34+C37+C40+C43+C46+C49</f>
        <v>1170.3052799999998</v>
      </c>
      <c r="D21" s="65">
        <f t="shared" ref="D21:L21" si="3">D25+D28+D31+D34+D37+D40+D43+D46+D49</f>
        <v>410.1</v>
      </c>
      <c r="E21" s="65">
        <f>E25+E28+E31+E34+E37+E40+E43+E46+E49+0.1</f>
        <v>5079.2733279999993</v>
      </c>
      <c r="F21" s="65">
        <f t="shared" si="3"/>
        <v>12.9</v>
      </c>
      <c r="G21" s="65">
        <f>G25+G28+G31+G34+G37+G40+G43+G46+G49-0.1</f>
        <v>138.15807199999998</v>
      </c>
      <c r="H21" s="65">
        <f t="shared" si="3"/>
        <v>1207.0999999999999</v>
      </c>
      <c r="I21" s="65">
        <f>I25+I28+I31+I34+I37+I40+I43+I46+I49</f>
        <v>112.12973999999998</v>
      </c>
      <c r="J21" s="65">
        <f t="shared" si="3"/>
        <v>1207.0999999999999</v>
      </c>
      <c r="K21" s="65">
        <f>K25+K28+K31+K34+K37+K40+K43+K46+K49-0.1</f>
        <v>210.08373200000003</v>
      </c>
      <c r="L21" s="65">
        <f t="shared" si="3"/>
        <v>103.70000000000002</v>
      </c>
      <c r="M21" s="65">
        <f>M25+M28+M31+M34+M37+M40+M43+M46+M49</f>
        <v>59.32677000000001</v>
      </c>
      <c r="N21" s="65">
        <f>N25+N28+N31+N34+N37+N40+N43+N46+N49-0.1</f>
        <v>6769.2769219999991</v>
      </c>
      <c r="O21" s="52"/>
      <c r="P21" s="53"/>
    </row>
    <row r="22" spans="1:16" ht="18" customHeight="1" thickBot="1" x14ac:dyDescent="0.35">
      <c r="A22" s="81" t="s">
        <v>12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3"/>
      <c r="O22" s="53"/>
      <c r="P22" s="53"/>
    </row>
    <row r="23" spans="1:16" ht="68.25" customHeight="1" thickBot="1" x14ac:dyDescent="0.35">
      <c r="A23" s="64" t="s">
        <v>90</v>
      </c>
      <c r="B23" s="65">
        <f>B24+B25</f>
        <v>88</v>
      </c>
      <c r="C23" s="65">
        <f t="shared" ref="C23:L23" si="4">C24+C25</f>
        <v>971.52</v>
      </c>
      <c r="D23" s="65">
        <f t="shared" si="4"/>
        <v>310</v>
      </c>
      <c r="E23" s="65">
        <f>E24+E25</f>
        <v>3272.3075999999996</v>
      </c>
      <c r="F23" s="65">
        <f t="shared" si="4"/>
        <v>3.4</v>
      </c>
      <c r="G23" s="65">
        <f>G24+G25</f>
        <v>35.774831999999996</v>
      </c>
      <c r="H23" s="65">
        <f t="shared" si="4"/>
        <v>431.70000000000005</v>
      </c>
      <c r="I23" s="65">
        <f t="shared" si="4"/>
        <v>38.386763999999992</v>
      </c>
      <c r="J23" s="65">
        <f t="shared" si="4"/>
        <v>431.70000000000005</v>
      </c>
      <c r="K23" s="65">
        <f>K24+K25-0.1</f>
        <v>74.068052000000023</v>
      </c>
      <c r="L23" s="65">
        <f t="shared" si="4"/>
        <v>74.400000000000006</v>
      </c>
      <c r="M23" s="65">
        <f>M24+M25+0.1</f>
        <v>41.339920000000006</v>
      </c>
      <c r="N23" s="65">
        <f>SUM(C23,E23,G23,I23,K23)+M23</f>
        <v>4433.3971679999995</v>
      </c>
      <c r="O23" s="53"/>
      <c r="P23" s="53"/>
    </row>
    <row r="24" spans="1:16" ht="20.100000000000001" customHeight="1" thickBot="1" x14ac:dyDescent="0.35">
      <c r="A24" s="64" t="s">
        <v>21</v>
      </c>
      <c r="B24" s="65">
        <v>43.7</v>
      </c>
      <c r="C24" s="66">
        <f>B24*ТАРИФЫ!F21</f>
        <v>482.44799999999998</v>
      </c>
      <c r="D24" s="65">
        <v>181</v>
      </c>
      <c r="E24" s="65">
        <f>D24*ТАРИФЫ!F5/1000</f>
        <v>1889.7268799999999</v>
      </c>
      <c r="F24" s="65">
        <v>2.4</v>
      </c>
      <c r="G24" s="65">
        <f>F24*ТАРИФЫ!F5/1000</f>
        <v>25.057151999999999</v>
      </c>
      <c r="H24" s="65">
        <v>236.3</v>
      </c>
      <c r="I24" s="65">
        <f>H24*ТАРИФЫ!F10/1000</f>
        <v>21.011795999999997</v>
      </c>
      <c r="J24" s="65">
        <f>H24</f>
        <v>236.3</v>
      </c>
      <c r="K24" s="65">
        <f>J24*ТАРИФЫ!F15/1000</f>
        <v>39.840180000000004</v>
      </c>
      <c r="L24" s="65">
        <v>37.200000000000003</v>
      </c>
      <c r="M24" s="65">
        <f>L24*ТАРИФЫ!D26/1000</f>
        <v>19.957800000000002</v>
      </c>
      <c r="N24" s="65">
        <f>SUM(C24,E24,G24,I24,K24)+M24</f>
        <v>2478.0418079999999</v>
      </c>
      <c r="O24" s="53"/>
      <c r="P24" s="53"/>
    </row>
    <row r="25" spans="1:16" ht="19.5" customHeight="1" thickBot="1" x14ac:dyDescent="0.35">
      <c r="A25" s="64" t="s">
        <v>40</v>
      </c>
      <c r="B25" s="65">
        <v>44.3</v>
      </c>
      <c r="C25" s="66">
        <f>B25*ТАРИФЫ!F21</f>
        <v>489.07199999999995</v>
      </c>
      <c r="D25" s="65">
        <v>129</v>
      </c>
      <c r="E25" s="65">
        <f>D25*ТАРИФЫ!G5/1000</f>
        <v>1382.5807199999997</v>
      </c>
      <c r="F25" s="65">
        <v>1</v>
      </c>
      <c r="G25" s="65">
        <f>F25*ТАРИФЫ!G5/1000</f>
        <v>10.717679999999998</v>
      </c>
      <c r="H25" s="65">
        <v>195.4</v>
      </c>
      <c r="I25" s="65">
        <f>H25*ТАРИФЫ!F10/1000</f>
        <v>17.374967999999996</v>
      </c>
      <c r="J25" s="65">
        <v>195.4</v>
      </c>
      <c r="K25" s="65">
        <f>J25*ТАРИФЫ!G15/1000</f>
        <v>34.327872000000006</v>
      </c>
      <c r="L25" s="65">
        <v>37.200000000000003</v>
      </c>
      <c r="M25" s="65">
        <f>L25*ТАРИФЫ!E26/1000</f>
        <v>21.282120000000003</v>
      </c>
      <c r="N25" s="65">
        <f>SUM(C25,E25,G25,I25,K25)+M25</f>
        <v>1955.3553599999998</v>
      </c>
      <c r="O25" s="53"/>
      <c r="P25" s="53"/>
    </row>
    <row r="26" spans="1:16" ht="68.25" customHeight="1" thickBot="1" x14ac:dyDescent="0.35">
      <c r="A26" s="64" t="s">
        <v>91</v>
      </c>
      <c r="B26" s="65">
        <f>B27+B28</f>
        <v>1.6</v>
      </c>
      <c r="C26" s="65">
        <f>C27+C28</f>
        <v>18.01728</v>
      </c>
      <c r="D26" s="65">
        <f t="shared" ref="D26:L26" si="5">D27+D28</f>
        <v>65.900000000000006</v>
      </c>
      <c r="E26" s="65">
        <f>E27+E28+0.1</f>
        <v>695.72291200000006</v>
      </c>
      <c r="F26" s="65">
        <f t="shared" si="5"/>
        <v>1.8</v>
      </c>
      <c r="G26" s="65">
        <f>G27+G28</f>
        <v>19.042344</v>
      </c>
      <c r="H26" s="65">
        <f t="shared" si="5"/>
        <v>61.2</v>
      </c>
      <c r="I26" s="65">
        <f>I27+I28</f>
        <v>5.5483919999999998</v>
      </c>
      <c r="J26" s="65">
        <f t="shared" si="5"/>
        <v>61.2</v>
      </c>
      <c r="K26" s="65">
        <f>K27+K28+0.1</f>
        <v>10.634968000000001</v>
      </c>
      <c r="L26" s="65">
        <f t="shared" si="5"/>
        <v>5</v>
      </c>
      <c r="M26" s="65">
        <f>M27+M28-0.1</f>
        <v>2.6715</v>
      </c>
      <c r="N26" s="65">
        <f>SUM(C26,E26,G26,I26,K26)+M26-0.1</f>
        <v>751.53739600000006</v>
      </c>
      <c r="O26" s="53"/>
      <c r="P26" s="53"/>
    </row>
    <row r="27" spans="1:16" ht="20.100000000000001" customHeight="1" thickBot="1" x14ac:dyDescent="0.35">
      <c r="A27" s="64" t="s">
        <v>21</v>
      </c>
      <c r="B27" s="65">
        <v>0.8</v>
      </c>
      <c r="C27" s="66">
        <f>B27*ТАРИФЫ!F21</f>
        <v>8.831999999999999</v>
      </c>
      <c r="D27" s="65">
        <v>38.5</v>
      </c>
      <c r="E27" s="65">
        <f>D27*ТАРИФЫ!F5/1000</f>
        <v>401.95848000000001</v>
      </c>
      <c r="F27" s="65">
        <v>0.9</v>
      </c>
      <c r="G27" s="65">
        <f>F27*ТАРИФЫ!F5/1000</f>
        <v>9.3964320000000008</v>
      </c>
      <c r="H27" s="65">
        <v>30.6</v>
      </c>
      <c r="I27" s="65">
        <f>H27*ТАРИФЫ!F10/1000</f>
        <v>2.7209519999999996</v>
      </c>
      <c r="J27" s="65">
        <v>30.6</v>
      </c>
      <c r="K27" s="65">
        <f>J27*ТАРИФЫ!F15/1000</f>
        <v>5.15916</v>
      </c>
      <c r="L27" s="65">
        <v>2.5</v>
      </c>
      <c r="M27" s="65">
        <f>L27*ТАРИФЫ!D26/1000</f>
        <v>1.3412500000000001</v>
      </c>
      <c r="N27" s="65">
        <f t="shared" ref="N27:N29" si="6">SUM(C27,E27,G27,I27,K27)+M27</f>
        <v>429.40827400000001</v>
      </c>
      <c r="O27" s="53"/>
      <c r="P27" s="53"/>
    </row>
    <row r="28" spans="1:16" ht="20.100000000000001" customHeight="1" thickBot="1" x14ac:dyDescent="0.35">
      <c r="A28" s="64" t="s">
        <v>40</v>
      </c>
      <c r="B28" s="65">
        <v>0.8</v>
      </c>
      <c r="C28" s="66">
        <f>B28*ТАРИФЫ!G21</f>
        <v>9.1852799999999988</v>
      </c>
      <c r="D28" s="65">
        <v>27.4</v>
      </c>
      <c r="E28" s="65">
        <f>D28*ТАРИФЫ!G5/1000</f>
        <v>293.66443199999998</v>
      </c>
      <c r="F28" s="65">
        <v>0.9</v>
      </c>
      <c r="G28" s="65">
        <f>F28*ТАРИФЫ!G5/1000</f>
        <v>9.6459119999999992</v>
      </c>
      <c r="H28" s="65">
        <v>30.6</v>
      </c>
      <c r="I28" s="65">
        <f>H28*ТАРИФЫ!G10/1000</f>
        <v>2.8274400000000002</v>
      </c>
      <c r="J28" s="65">
        <v>30.6</v>
      </c>
      <c r="K28" s="65">
        <f>J28*ТАРИФЫ!G15/1000</f>
        <v>5.375808000000001</v>
      </c>
      <c r="L28" s="65">
        <v>2.5</v>
      </c>
      <c r="M28" s="65">
        <f>L28*ТАРИФЫ!E26/1000</f>
        <v>1.43025</v>
      </c>
      <c r="N28" s="65">
        <f>SUM(C28,E28,G28,I28,K28)+M28</f>
        <v>322.129122</v>
      </c>
      <c r="O28" s="52"/>
      <c r="P28" s="53"/>
    </row>
    <row r="29" spans="1:16" ht="84.75" customHeight="1" thickBot="1" x14ac:dyDescent="0.35">
      <c r="A29" s="64" t="s">
        <v>92</v>
      </c>
      <c r="B29" s="65">
        <f>B30+B31</f>
        <v>4.5</v>
      </c>
      <c r="C29" s="65">
        <f t="shared" ref="C29:L29" si="7">C30+C31</f>
        <v>50.51903999999999</v>
      </c>
      <c r="D29" s="65">
        <f t="shared" si="7"/>
        <v>112.2</v>
      </c>
      <c r="E29" s="65">
        <f>E30+E31+0.1</f>
        <v>2307.5332480000002</v>
      </c>
      <c r="F29" s="65">
        <f t="shared" si="7"/>
        <v>0</v>
      </c>
      <c r="G29" s="65">
        <f t="shared" si="7"/>
        <v>0</v>
      </c>
      <c r="H29" s="65">
        <f t="shared" si="7"/>
        <v>28.799999999999997</v>
      </c>
      <c r="I29" s="65">
        <f>I30+I31-0.1</f>
        <v>4.5537919999999996</v>
      </c>
      <c r="J29" s="65">
        <f t="shared" si="7"/>
        <v>28.799999999999997</v>
      </c>
      <c r="K29" s="65">
        <f t="shared" si="7"/>
        <v>4.0449599999999997</v>
      </c>
      <c r="L29" s="65">
        <f t="shared" si="7"/>
        <v>5</v>
      </c>
      <c r="M29" s="65">
        <f>M30+M31-0.1</f>
        <v>2.6715</v>
      </c>
      <c r="N29" s="65">
        <f t="shared" si="6"/>
        <v>2369.3225400000006</v>
      </c>
      <c r="O29" s="53"/>
      <c r="P29" s="53"/>
    </row>
    <row r="30" spans="1:16" ht="20.100000000000001" customHeight="1" thickBot="1" x14ac:dyDescent="0.35">
      <c r="A30" s="64" t="s">
        <v>21</v>
      </c>
      <c r="B30" s="65">
        <v>2.6</v>
      </c>
      <c r="C30" s="66">
        <f>B30*ТАРИФЫ!F21</f>
        <v>28.703999999999997</v>
      </c>
      <c r="D30" s="65">
        <v>69</v>
      </c>
      <c r="E30" s="65">
        <f>D30*ТАРИФЫ!F8/1000</f>
        <v>1392.8616</v>
      </c>
      <c r="F30" s="65">
        <v>0</v>
      </c>
      <c r="G30" s="66">
        <v>0</v>
      </c>
      <c r="H30" s="65">
        <v>14.7</v>
      </c>
      <c r="I30" s="65">
        <f>H30*ТАРИФЫ!F13/1000</f>
        <v>2.3408279999999997</v>
      </c>
      <c r="J30" s="65">
        <v>14.7</v>
      </c>
      <c r="K30" s="65">
        <f>J30*ТАРИФЫ!F19/1000</f>
        <v>2.0162520000000002</v>
      </c>
      <c r="L30" s="65">
        <v>2.5</v>
      </c>
      <c r="M30" s="65">
        <f>L30*ТАРИФЫ!D29/1000</f>
        <v>1.3412500000000001</v>
      </c>
      <c r="N30" s="65">
        <f>SUM(C30,E30,G30,I30,K30)+M30-0.1</f>
        <v>1427.1639299999999</v>
      </c>
      <c r="O30" s="53"/>
      <c r="P30" s="53"/>
    </row>
    <row r="31" spans="1:16" ht="20.100000000000001" customHeight="1" thickBot="1" x14ac:dyDescent="0.35">
      <c r="A31" s="64" t="s">
        <v>40</v>
      </c>
      <c r="B31" s="65">
        <v>1.9</v>
      </c>
      <c r="C31" s="66">
        <f>B31*ТАРИФЫ!G21</f>
        <v>21.815039999999996</v>
      </c>
      <c r="D31" s="65">
        <v>43.2</v>
      </c>
      <c r="E31" s="65">
        <f>D31*ТАРИФЫ!G8/1000</f>
        <v>914.5716480000001</v>
      </c>
      <c r="F31" s="65">
        <v>0</v>
      </c>
      <c r="G31" s="66">
        <v>0</v>
      </c>
      <c r="H31" s="65">
        <v>14.1</v>
      </c>
      <c r="I31" s="65">
        <f>H31*ТАРИФЫ!G13/1000</f>
        <v>2.312964</v>
      </c>
      <c r="J31" s="65">
        <v>14.1</v>
      </c>
      <c r="K31" s="65">
        <f>J31*ТАРИФЫ!G19/1000</f>
        <v>2.028708</v>
      </c>
      <c r="L31" s="65">
        <v>2.5</v>
      </c>
      <c r="M31" s="65">
        <f>L31*ТАРИФЫ!E29/1000</f>
        <v>1.43025</v>
      </c>
      <c r="N31" s="65">
        <f>SUM(C31,E31,G31,I31,K31)+M31-0.1</f>
        <v>942.05861000000004</v>
      </c>
      <c r="O31" s="52"/>
      <c r="P31" s="53"/>
    </row>
    <row r="32" spans="1:16" ht="84" customHeight="1" thickBot="1" x14ac:dyDescent="0.35">
      <c r="A32" s="64" t="s">
        <v>93</v>
      </c>
      <c r="B32" s="65">
        <f>B33+B34</f>
        <v>6.5</v>
      </c>
      <c r="C32" s="65">
        <f>C33+C34</f>
        <v>73.879199999999997</v>
      </c>
      <c r="D32" s="65">
        <f t="shared" ref="D32:J32" si="8">D33+D34</f>
        <v>41.599999999999994</v>
      </c>
      <c r="E32" s="65">
        <f>E33+E34</f>
        <v>980.49927600000001</v>
      </c>
      <c r="F32" s="65">
        <f t="shared" si="8"/>
        <v>0</v>
      </c>
      <c r="G32" s="65">
        <f t="shared" si="8"/>
        <v>0</v>
      </c>
      <c r="H32" s="65">
        <f t="shared" si="8"/>
        <v>15.5</v>
      </c>
      <c r="I32" s="65">
        <f t="shared" si="8"/>
        <v>1.8948480000000001</v>
      </c>
      <c r="J32" s="65">
        <f t="shared" si="8"/>
        <v>15.5</v>
      </c>
      <c r="K32" s="65">
        <f>K33+K34</f>
        <v>0.60515999999999992</v>
      </c>
      <c r="L32" s="65">
        <f t="shared" ref="L32" si="9">L33+L34+0.1</f>
        <v>3.5</v>
      </c>
      <c r="M32" s="65">
        <f>M33+M34</f>
        <v>1.88462</v>
      </c>
      <c r="N32" s="65">
        <f>SUM(C32,E32,G32,I32,K32)+M32</f>
        <v>1058.7631040000001</v>
      </c>
      <c r="O32" s="53"/>
      <c r="P32" s="53"/>
    </row>
    <row r="33" spans="1:16" ht="20.100000000000001" customHeight="1" thickBot="1" x14ac:dyDescent="0.35">
      <c r="A33" s="64" t="s">
        <v>21</v>
      </c>
      <c r="B33" s="65">
        <v>3.5</v>
      </c>
      <c r="C33" s="66">
        <f>B33*ТАРИФЫ!F22</f>
        <v>39.06</v>
      </c>
      <c r="D33" s="65">
        <v>23.9</v>
      </c>
      <c r="E33" s="65">
        <f>D33*ТАРИФЫ!F6/1000</f>
        <v>558.51145199999996</v>
      </c>
      <c r="F33" s="65">
        <v>0</v>
      </c>
      <c r="G33" s="65">
        <v>0</v>
      </c>
      <c r="H33" s="65">
        <v>7.9</v>
      </c>
      <c r="I33" s="65">
        <f>H33*ТАРИФЫ!F11/1000</f>
        <v>0.92903999999999998</v>
      </c>
      <c r="J33" s="65">
        <v>7.9</v>
      </c>
      <c r="K33" s="65">
        <f>J33*ТАРИФЫ!F16/1000</f>
        <v>0.30146400000000001</v>
      </c>
      <c r="L33" s="65">
        <v>1.7</v>
      </c>
      <c r="M33" s="65">
        <f>L33*ТАРИФЫ!D27/1000</f>
        <v>0.91204999999999992</v>
      </c>
      <c r="N33" s="65">
        <f>SUM(C33,E33,G33,I33,K33)+M33</f>
        <v>599.71400599999993</v>
      </c>
      <c r="O33" s="53"/>
      <c r="P33" s="53"/>
    </row>
    <row r="34" spans="1:16" ht="20.100000000000001" customHeight="1" thickBot="1" x14ac:dyDescent="0.35">
      <c r="A34" s="64" t="s">
        <v>40</v>
      </c>
      <c r="B34" s="65">
        <v>3</v>
      </c>
      <c r="C34" s="66">
        <f>B34*ТАРИФЫ!G22</f>
        <v>34.819200000000002</v>
      </c>
      <c r="D34" s="65">
        <v>17.7</v>
      </c>
      <c r="E34" s="65">
        <f>D34*ТАРИФЫ!G6/1000</f>
        <v>421.98782399999999</v>
      </c>
      <c r="F34" s="65">
        <v>0</v>
      </c>
      <c r="G34" s="65">
        <v>0</v>
      </c>
      <c r="H34" s="65">
        <v>7.6</v>
      </c>
      <c r="I34" s="65">
        <f>H34*ТАРИФЫ!G11/1000</f>
        <v>0.965808</v>
      </c>
      <c r="J34" s="65">
        <v>7.6</v>
      </c>
      <c r="K34" s="65">
        <f>J34*ТАРИФЫ!G16/1000</f>
        <v>0.30369599999999991</v>
      </c>
      <c r="L34" s="65">
        <v>1.7</v>
      </c>
      <c r="M34" s="65">
        <f>L34*ТАРИФЫ!E27/1000</f>
        <v>0.97257000000000005</v>
      </c>
      <c r="N34" s="65">
        <f>SUM(C34,E34,G34,I34,K34)+M34+0.1</f>
        <v>459.14909800000004</v>
      </c>
      <c r="O34" s="52"/>
      <c r="P34" s="53"/>
    </row>
    <row r="35" spans="1:16" ht="65.25" customHeight="1" thickBot="1" x14ac:dyDescent="0.35">
      <c r="A35" s="64" t="s">
        <v>62</v>
      </c>
      <c r="B35" s="65">
        <f>B36+B37</f>
        <v>2.5</v>
      </c>
      <c r="C35" s="65">
        <f>C36+C37-0.1</f>
        <v>28.074079999999995</v>
      </c>
      <c r="D35" s="65">
        <f t="shared" ref="D35:J35" si="10">D36+D37</f>
        <v>34.799999999999997</v>
      </c>
      <c r="E35" s="65">
        <f>E36+E37</f>
        <v>367.15406400000001</v>
      </c>
      <c r="F35" s="65">
        <f t="shared" si="10"/>
        <v>0.2</v>
      </c>
      <c r="G35" s="65">
        <f t="shared" si="10"/>
        <v>2.1158159999999997</v>
      </c>
      <c r="H35" s="65">
        <f t="shared" si="10"/>
        <v>10.399999999999999</v>
      </c>
      <c r="I35" s="65">
        <f>I36+I37</f>
        <v>0.94147199999999986</v>
      </c>
      <c r="J35" s="65">
        <f t="shared" si="10"/>
        <v>10.399999999999999</v>
      </c>
      <c r="K35" s="65">
        <f>K36+K37-0.1</f>
        <v>1.2876799999999997</v>
      </c>
      <c r="L35" s="65">
        <f>L36+L37</f>
        <v>3.4</v>
      </c>
      <c r="M35" s="65">
        <f>M36+M37</f>
        <v>1.88462</v>
      </c>
      <c r="N35" s="65">
        <f>SUM(C35,E35,G35,I35,K35)+M35</f>
        <v>401.45773199999996</v>
      </c>
      <c r="O35" s="52"/>
      <c r="P35" s="53"/>
    </row>
    <row r="36" spans="1:16" ht="28.5" customHeight="1" thickBot="1" x14ac:dyDescent="0.35">
      <c r="A36" s="64" t="s">
        <v>21</v>
      </c>
      <c r="B36" s="65">
        <v>1.2</v>
      </c>
      <c r="C36" s="66">
        <f>B36*ТАРИФЫ!F21</f>
        <v>13.247999999999999</v>
      </c>
      <c r="D36" s="65">
        <v>21</v>
      </c>
      <c r="E36" s="65">
        <f>D36*ТАРИФЫ!F5/1000</f>
        <v>219.25008</v>
      </c>
      <c r="F36" s="65">
        <v>0.1</v>
      </c>
      <c r="G36" s="65">
        <f>F36*ТАРИФЫ!F5/1000</f>
        <v>1.0440480000000001</v>
      </c>
      <c r="H36" s="65">
        <v>5.6</v>
      </c>
      <c r="I36" s="65">
        <f>H36*ТАРИФЫ!F10/1000</f>
        <v>0.49795199999999989</v>
      </c>
      <c r="J36" s="65">
        <v>5.6</v>
      </c>
      <c r="K36" s="65">
        <f>J36*ТАРИФЫ!F15/1000</f>
        <v>0.94415999999999989</v>
      </c>
      <c r="L36" s="65">
        <v>1.7</v>
      </c>
      <c r="M36" s="65">
        <f>L36*ТАРИФЫ!D26/1000</f>
        <v>0.91204999999999992</v>
      </c>
      <c r="N36" s="65">
        <f>SUM(C36,E36,G36,I36,K36)+M36-0.1</f>
        <v>235.79629</v>
      </c>
      <c r="O36" s="52"/>
      <c r="P36" s="53"/>
    </row>
    <row r="37" spans="1:16" ht="20.100000000000001" customHeight="1" thickBot="1" x14ac:dyDescent="0.35">
      <c r="A37" s="64" t="s">
        <v>40</v>
      </c>
      <c r="B37" s="65">
        <v>1.3</v>
      </c>
      <c r="C37" s="66">
        <f>B37*ТАРИФЫ!G21</f>
        <v>14.926079999999999</v>
      </c>
      <c r="D37" s="65">
        <v>13.8</v>
      </c>
      <c r="E37" s="65">
        <f>D37*ТАРИФЫ!G5/1000</f>
        <v>147.90398400000001</v>
      </c>
      <c r="F37" s="65">
        <v>0.1</v>
      </c>
      <c r="G37" s="65">
        <f>F37*ТАРИФЫ!G5/1000</f>
        <v>1.0717679999999998</v>
      </c>
      <c r="H37" s="65">
        <v>4.8</v>
      </c>
      <c r="I37" s="65">
        <f>H37*ТАРИФЫ!G10/1000</f>
        <v>0.44351999999999991</v>
      </c>
      <c r="J37" s="65">
        <v>4.8</v>
      </c>
      <c r="K37" s="65">
        <f>J37*ТАРИФЫ!G10/1000</f>
        <v>0.44351999999999991</v>
      </c>
      <c r="L37" s="65">
        <v>1.7</v>
      </c>
      <c r="M37" s="65">
        <f>L37*ТАРИФЫ!E26/1000</f>
        <v>0.97257000000000005</v>
      </c>
      <c r="N37" s="65">
        <f>SUM(C37,E37,G37,I37,K37)+M37-0.1</f>
        <v>165.66144199999999</v>
      </c>
      <c r="O37" s="52"/>
      <c r="P37" s="53"/>
    </row>
    <row r="38" spans="1:16" ht="39.75" customHeight="1" thickBot="1" x14ac:dyDescent="0.35">
      <c r="A38" s="64" t="s">
        <v>80</v>
      </c>
      <c r="B38" s="65">
        <f>B39+B40</f>
        <v>29.5</v>
      </c>
      <c r="C38" s="65">
        <f>C39+C40-0.1</f>
        <v>331.76239999999996</v>
      </c>
      <c r="D38" s="65">
        <f t="shared" ref="D38:J38" si="11">D39+D40</f>
        <v>61.099999999999994</v>
      </c>
      <c r="E38" s="65">
        <f t="shared" si="11"/>
        <v>645.0373679999999</v>
      </c>
      <c r="F38" s="65">
        <f t="shared" si="11"/>
        <v>22.8</v>
      </c>
      <c r="G38" s="65">
        <f>G39+G40-0.1</f>
        <v>240.96442399999998</v>
      </c>
      <c r="H38" s="65">
        <f t="shared" si="11"/>
        <v>663.1</v>
      </c>
      <c r="I38" s="65">
        <f>I39+I40</f>
        <v>60.061836</v>
      </c>
      <c r="J38" s="65">
        <f t="shared" si="11"/>
        <v>663.1</v>
      </c>
      <c r="K38" s="65">
        <f>K39+K40+0.1</f>
        <v>114.134524</v>
      </c>
      <c r="L38" s="65">
        <f>L39+L40</f>
        <v>1.8</v>
      </c>
      <c r="M38" s="65">
        <f>M39+M40</f>
        <v>0.99773999999999996</v>
      </c>
      <c r="N38" s="65">
        <f>SUM(C38,E38,G38,I38,K38)+M38</f>
        <v>1392.958292</v>
      </c>
      <c r="O38" s="52"/>
      <c r="P38" s="53"/>
    </row>
    <row r="39" spans="1:16" ht="20.100000000000001" customHeight="1" thickBot="1" x14ac:dyDescent="0.35">
      <c r="A39" s="64" t="s">
        <v>21</v>
      </c>
      <c r="B39" s="65">
        <v>15.5</v>
      </c>
      <c r="C39" s="66">
        <f>B39*ТАРИФЫ!F21</f>
        <v>171.11999999999998</v>
      </c>
      <c r="D39" s="65">
        <v>35.4</v>
      </c>
      <c r="E39" s="65">
        <f>D39*ТАРИФЫ!F5/1000</f>
        <v>369.59299199999998</v>
      </c>
      <c r="F39" s="65">
        <v>11.9</v>
      </c>
      <c r="G39" s="65">
        <f>F39*ТАРИФЫ!F5/1000</f>
        <v>124.24171199999999</v>
      </c>
      <c r="H39" s="65">
        <v>347.3</v>
      </c>
      <c r="I39" s="65">
        <f>H39*ТАРИФЫ!F10/1000</f>
        <v>30.881915999999997</v>
      </c>
      <c r="J39" s="65">
        <v>347.3</v>
      </c>
      <c r="K39" s="65">
        <f>J39*ТАРИФЫ!F15/1000</f>
        <v>58.554780000000001</v>
      </c>
      <c r="L39" s="65">
        <v>0.9</v>
      </c>
      <c r="M39" s="65">
        <f>L39*ТАРИФЫ!D26/1000</f>
        <v>0.48285</v>
      </c>
      <c r="N39" s="65">
        <f>SUM(C39,E39,G39,I39,K39)+M39</f>
        <v>754.87425000000007</v>
      </c>
      <c r="O39" s="52"/>
      <c r="P39" s="53"/>
    </row>
    <row r="40" spans="1:16" ht="20.100000000000001" customHeight="1" thickBot="1" x14ac:dyDescent="0.35">
      <c r="A40" s="64" t="s">
        <v>40</v>
      </c>
      <c r="B40" s="65">
        <v>14</v>
      </c>
      <c r="C40" s="66">
        <f>B40*ТАРИФЫ!G21</f>
        <v>160.74239999999998</v>
      </c>
      <c r="D40" s="65">
        <v>25.7</v>
      </c>
      <c r="E40" s="65">
        <f>D40*ТАРИФЫ!G5/1000</f>
        <v>275.44437599999992</v>
      </c>
      <c r="F40" s="65">
        <v>10.9</v>
      </c>
      <c r="G40" s="65">
        <f>F40*ТАРИФЫ!G5/1000</f>
        <v>116.82271199999998</v>
      </c>
      <c r="H40" s="65">
        <v>315.8</v>
      </c>
      <c r="I40" s="65">
        <f>H40*ТАРИФЫ!G10/1000</f>
        <v>29.179919999999999</v>
      </c>
      <c r="J40" s="65">
        <v>315.8</v>
      </c>
      <c r="K40" s="65">
        <f>J40*ТАРИФЫ!G15/1000</f>
        <v>55.479744000000004</v>
      </c>
      <c r="L40" s="65">
        <v>0.9</v>
      </c>
      <c r="M40" s="65">
        <f>L40*ТАРИФЫ!E26/1000</f>
        <v>0.51488999999999996</v>
      </c>
      <c r="N40" s="65">
        <f>SUM(C40,E40,G40,I40,K40)+M40-0.1</f>
        <v>638.08404199999995</v>
      </c>
      <c r="O40" s="52"/>
      <c r="P40" s="53"/>
    </row>
    <row r="41" spans="1:16" ht="120" customHeight="1" thickBot="1" x14ac:dyDescent="0.35">
      <c r="A41" s="64" t="s">
        <v>102</v>
      </c>
      <c r="B41" s="65">
        <f>B42+B43</f>
        <v>10.199999999999999</v>
      </c>
      <c r="C41" s="65">
        <f t="shared" ref="C41:J41" si="12">C42+C43</f>
        <v>114.86015999999998</v>
      </c>
      <c r="D41" s="65">
        <f t="shared" si="12"/>
        <v>228.39999999999998</v>
      </c>
      <c r="E41" s="65">
        <f>E42+E43</f>
        <v>2410.8564719999995</v>
      </c>
      <c r="F41" s="65">
        <f t="shared" si="12"/>
        <v>0</v>
      </c>
      <c r="G41" s="65">
        <f t="shared" si="12"/>
        <v>0</v>
      </c>
      <c r="H41" s="65">
        <f t="shared" si="12"/>
        <v>67</v>
      </c>
      <c r="I41" s="65">
        <f>I42+I43</f>
        <v>6.0926639999999992</v>
      </c>
      <c r="J41" s="65">
        <f t="shared" si="12"/>
        <v>67</v>
      </c>
      <c r="K41" s="65">
        <f>K42+K43</f>
        <v>11.570903999999999</v>
      </c>
      <c r="L41" s="65">
        <f>L42+L43</f>
        <v>114.4</v>
      </c>
      <c r="M41" s="65">
        <f>M42+M43</f>
        <v>63.411920000000002</v>
      </c>
      <c r="N41" s="65">
        <f>SUM(C41,E41,G41,I41,K41)+M41+0.1</f>
        <v>2606.8921199999995</v>
      </c>
      <c r="O41" s="52"/>
      <c r="P41" s="53"/>
    </row>
    <row r="42" spans="1:16" ht="20.100000000000001" customHeight="1" thickBot="1" x14ac:dyDescent="0.35">
      <c r="A42" s="64" t="s">
        <v>21</v>
      </c>
      <c r="B42" s="65">
        <v>5.0999999999999996</v>
      </c>
      <c r="C42" s="66">
        <f>B42*ТАРИФЫ!F21</f>
        <v>56.303999999999995</v>
      </c>
      <c r="D42" s="65">
        <v>133.69999999999999</v>
      </c>
      <c r="E42" s="65">
        <f>D42*ТАРИФЫ!F5/1000</f>
        <v>1395.8921759999998</v>
      </c>
      <c r="F42" s="65">
        <v>0</v>
      </c>
      <c r="G42" s="65">
        <f>F42*ТАРИФЫ!F5/1000</f>
        <v>0</v>
      </c>
      <c r="H42" s="65">
        <v>28.2</v>
      </c>
      <c r="I42" s="65">
        <f>H42*ТАРИФЫ!F10/1000</f>
        <v>2.5075439999999993</v>
      </c>
      <c r="J42" s="65">
        <f>H42</f>
        <v>28.2</v>
      </c>
      <c r="K42" s="65">
        <f>J42*ТАРИФЫ!F15/1000</f>
        <v>4.7545199999999994</v>
      </c>
      <c r="L42" s="65">
        <v>57.2</v>
      </c>
      <c r="M42" s="65">
        <f>L42*ТАРИФЫ!D26/1000</f>
        <v>30.687800000000003</v>
      </c>
      <c r="N42" s="65">
        <f>SUM(C42,E42,G42,I42,K42)+M42+0.1</f>
        <v>1490.2460399999998</v>
      </c>
      <c r="O42" s="52"/>
      <c r="P42" s="53"/>
    </row>
    <row r="43" spans="1:16" ht="20.100000000000001" customHeight="1" thickBot="1" x14ac:dyDescent="0.35">
      <c r="A43" s="64" t="s">
        <v>40</v>
      </c>
      <c r="B43" s="65">
        <v>5.0999999999999996</v>
      </c>
      <c r="C43" s="66">
        <f>B43*ТАРИФЫ!G21</f>
        <v>58.556159999999991</v>
      </c>
      <c r="D43" s="65">
        <v>94.7</v>
      </c>
      <c r="E43" s="65">
        <f>D43*ТАРИФЫ!G5/1000</f>
        <v>1014.9642959999999</v>
      </c>
      <c r="F43" s="65">
        <v>0</v>
      </c>
      <c r="G43" s="65">
        <f>F43*ТАРИФЫ!G5/1000</f>
        <v>0</v>
      </c>
      <c r="H43" s="65">
        <v>38.799999999999997</v>
      </c>
      <c r="I43" s="65">
        <f>H43*ТАРИФЫ!G10/1000</f>
        <v>3.5851199999999994</v>
      </c>
      <c r="J43" s="65">
        <v>38.799999999999997</v>
      </c>
      <c r="K43" s="65">
        <f>J43*ТАРИФЫ!G15/1000</f>
        <v>6.8163840000000002</v>
      </c>
      <c r="L43" s="65">
        <v>57.2</v>
      </c>
      <c r="M43" s="65">
        <f>L43*ТАРИФЫ!E26/1000</f>
        <v>32.724119999999999</v>
      </c>
      <c r="N43" s="65">
        <f>SUM(C43,E43,G43,I43,K43)+M43+0.1</f>
        <v>1116.7460799999999</v>
      </c>
      <c r="O43" s="52"/>
      <c r="P43" s="53"/>
    </row>
    <row r="44" spans="1:16" ht="78" customHeight="1" thickBot="1" x14ac:dyDescent="0.35">
      <c r="A44" s="64" t="s">
        <v>95</v>
      </c>
      <c r="B44" s="65">
        <f>B45+B46</f>
        <v>94.9</v>
      </c>
      <c r="C44" s="65">
        <f>C45+C46</f>
        <v>1062.3571200000001</v>
      </c>
      <c r="D44" s="65">
        <f t="shared" ref="D44:K44" si="13">D45+D46</f>
        <v>144.19999999999999</v>
      </c>
      <c r="E44" s="65">
        <f>E45+E46</f>
        <v>1521.7611359999996</v>
      </c>
      <c r="F44" s="65">
        <f t="shared" si="13"/>
        <v>0</v>
      </c>
      <c r="G44" s="65">
        <f t="shared" si="13"/>
        <v>0</v>
      </c>
      <c r="H44" s="65">
        <f t="shared" si="13"/>
        <v>0</v>
      </c>
      <c r="I44" s="65">
        <f t="shared" si="13"/>
        <v>0</v>
      </c>
      <c r="J44" s="65">
        <f t="shared" si="13"/>
        <v>0</v>
      </c>
      <c r="K44" s="65">
        <f t="shared" si="13"/>
        <v>0</v>
      </c>
      <c r="L44" s="65">
        <v>0</v>
      </c>
      <c r="M44" s="65">
        <v>0</v>
      </c>
      <c r="N44" s="65">
        <f>SUM(C44,E44,G44,I44,K44)+M44+0.1</f>
        <v>2584.2182559999997</v>
      </c>
      <c r="O44" s="53"/>
      <c r="P44" s="53"/>
    </row>
    <row r="45" spans="1:16" ht="20.100000000000001" customHeight="1" thickBot="1" x14ac:dyDescent="0.35">
      <c r="A45" s="64" t="s">
        <v>21</v>
      </c>
      <c r="B45" s="65">
        <v>61.7</v>
      </c>
      <c r="C45" s="66">
        <f>B45*ТАРИФЫ!F21</f>
        <v>681.16800000000001</v>
      </c>
      <c r="D45" s="65">
        <v>85.6</v>
      </c>
      <c r="E45" s="65">
        <f>D45*ТАРИФЫ!F5/1000</f>
        <v>893.70508799999982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f>SUM(C45,E45,G45,I45,K45)+M45</f>
        <v>1574.8730879999998</v>
      </c>
      <c r="O45" s="53"/>
      <c r="P45" s="53"/>
    </row>
    <row r="46" spans="1:16" ht="20.100000000000001" customHeight="1" thickBot="1" x14ac:dyDescent="0.35">
      <c r="A46" s="64" t="s">
        <v>40</v>
      </c>
      <c r="B46" s="65">
        <v>33.200000000000003</v>
      </c>
      <c r="C46" s="66">
        <f>B46*ТАРИФЫ!G21</f>
        <v>381.18912</v>
      </c>
      <c r="D46" s="65">
        <v>58.6</v>
      </c>
      <c r="E46" s="65">
        <f>D46*ТАРИФЫ!G5/1000</f>
        <v>628.05604799999992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f>SUM(C46,E46,G46,I46,K46)+M46+0.1</f>
        <v>1009.3451679999999</v>
      </c>
      <c r="O46" s="53"/>
      <c r="P46" s="53"/>
    </row>
    <row r="47" spans="1:16" ht="30" customHeight="1" thickBot="1" x14ac:dyDescent="0.35">
      <c r="A47" s="64" t="s">
        <v>42</v>
      </c>
      <c r="B47" s="65">
        <f>B48+B49</f>
        <v>0</v>
      </c>
      <c r="C47" s="65">
        <f t="shared" ref="C47:I47" si="14">C48+C49</f>
        <v>0</v>
      </c>
      <c r="D47" s="65">
        <f t="shared" si="14"/>
        <v>0</v>
      </c>
      <c r="E47" s="65">
        <f t="shared" si="14"/>
        <v>0</v>
      </c>
      <c r="F47" s="65">
        <f t="shared" si="14"/>
        <v>0</v>
      </c>
      <c r="G47" s="65">
        <f t="shared" si="14"/>
        <v>0</v>
      </c>
      <c r="H47" s="65">
        <f t="shared" si="14"/>
        <v>1000</v>
      </c>
      <c r="I47" s="65">
        <f t="shared" si="14"/>
        <v>91.007999999999981</v>
      </c>
      <c r="J47" s="65">
        <f>J48+J49</f>
        <v>1000</v>
      </c>
      <c r="K47" s="65">
        <f>K48+K49</f>
        <v>172.84800000000001</v>
      </c>
      <c r="L47" s="65">
        <v>0</v>
      </c>
      <c r="M47" s="65">
        <v>0</v>
      </c>
      <c r="N47" s="65">
        <f>SUM(C47,E47,G47,I47,K47)+M47-0.1</f>
        <v>263.75599999999997</v>
      </c>
      <c r="O47" s="53"/>
      <c r="P47" s="53"/>
    </row>
    <row r="48" spans="1:16" ht="20.100000000000001" customHeight="1" thickBot="1" x14ac:dyDescent="0.35">
      <c r="A48" s="64" t="s">
        <v>21</v>
      </c>
      <c r="B48" s="65">
        <v>0</v>
      </c>
      <c r="C48" s="66">
        <v>0</v>
      </c>
      <c r="D48" s="65">
        <v>0</v>
      </c>
      <c r="E48" s="65">
        <v>0</v>
      </c>
      <c r="F48" s="65">
        <v>0</v>
      </c>
      <c r="G48" s="65">
        <v>0</v>
      </c>
      <c r="H48" s="65">
        <v>400</v>
      </c>
      <c r="I48" s="65">
        <f>H48*ТАРИФЫ!F10/1000</f>
        <v>35.567999999999991</v>
      </c>
      <c r="J48" s="65">
        <f>H48</f>
        <v>400</v>
      </c>
      <c r="K48" s="65">
        <f>J48*ТАРИФЫ!F15/1000</f>
        <v>67.44</v>
      </c>
      <c r="L48" s="65">
        <v>0</v>
      </c>
      <c r="M48" s="65">
        <f>L48*ТАРИФЫ!H15/1000</f>
        <v>0</v>
      </c>
      <c r="N48" s="65">
        <f>SUM(C48,E48,G48,I48,K48)+M48</f>
        <v>103.00799999999998</v>
      </c>
      <c r="O48" s="53"/>
      <c r="P48" s="53"/>
    </row>
    <row r="49" spans="1:16" ht="20.100000000000001" customHeight="1" thickBot="1" x14ac:dyDescent="0.35">
      <c r="A49" s="64" t="s">
        <v>40</v>
      </c>
      <c r="B49" s="65">
        <v>0</v>
      </c>
      <c r="C49" s="66">
        <f>B49*8.14</f>
        <v>0</v>
      </c>
      <c r="D49" s="65">
        <v>0</v>
      </c>
      <c r="E49" s="65">
        <v>0</v>
      </c>
      <c r="F49" s="65">
        <v>0</v>
      </c>
      <c r="G49" s="65">
        <v>0</v>
      </c>
      <c r="H49" s="65">
        <v>600</v>
      </c>
      <c r="I49" s="65">
        <f>H49*ТАРИФЫ!G10/1000</f>
        <v>55.439999999999991</v>
      </c>
      <c r="J49" s="65">
        <v>600</v>
      </c>
      <c r="K49" s="65">
        <f>J49*ТАРИФЫ!G15/1000</f>
        <v>105.408</v>
      </c>
      <c r="L49" s="65">
        <v>0</v>
      </c>
      <c r="M49" s="65">
        <f>L49*ТАРИФЫ!H16/1000</f>
        <v>0</v>
      </c>
      <c r="N49" s="65">
        <f>SUM(C49,E49,G49,I49,K49)+M49</f>
        <v>160.84799999999998</v>
      </c>
      <c r="O49" s="53"/>
      <c r="P49" s="53"/>
    </row>
    <row r="50" spans="1:16" ht="30" customHeight="1" thickBot="1" x14ac:dyDescent="0.35">
      <c r="A50" s="78" t="s">
        <v>11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80"/>
      <c r="O50" s="53"/>
      <c r="P50" s="53"/>
    </row>
    <row r="51" spans="1:16" ht="79.5" customHeight="1" thickBot="1" x14ac:dyDescent="0.35">
      <c r="A51" s="64" t="s">
        <v>103</v>
      </c>
      <c r="B51" s="65">
        <f>B52+B53</f>
        <v>147</v>
      </c>
      <c r="C51" s="65">
        <f>C52+C53</f>
        <v>1653.48288</v>
      </c>
      <c r="D51" s="65">
        <f t="shared" ref="D51:J51" si="15">D52+D53</f>
        <v>945.1</v>
      </c>
      <c r="E51" s="65">
        <f t="shared" si="15"/>
        <v>9943.943448</v>
      </c>
      <c r="F51" s="65">
        <f t="shared" si="15"/>
        <v>98</v>
      </c>
      <c r="G51" s="65">
        <f>G52+G53</f>
        <v>1032.3978</v>
      </c>
      <c r="H51" s="65">
        <f t="shared" si="15"/>
        <v>4442.1000000000004</v>
      </c>
      <c r="I51" s="65">
        <f>I52+I53</f>
        <v>401.74934399999995</v>
      </c>
      <c r="J51" s="65">
        <f t="shared" si="15"/>
        <v>4442.1000000000004</v>
      </c>
      <c r="K51" s="65">
        <f>K52+K53</f>
        <v>762.68671199999994</v>
      </c>
      <c r="L51" s="65">
        <f>L52+L53</f>
        <v>140</v>
      </c>
      <c r="M51" s="65">
        <f>M52+M53</f>
        <v>77.602000000000004</v>
      </c>
      <c r="N51" s="65">
        <f>SUM(C51,E51,G51,I51,K51)+M51-0.1</f>
        <v>13871.762184000001</v>
      </c>
      <c r="O51" s="52"/>
      <c r="P51" s="53"/>
    </row>
    <row r="52" spans="1:16" ht="20.100000000000001" customHeight="1" thickBot="1" x14ac:dyDescent="0.35">
      <c r="A52" s="64" t="s">
        <v>21</v>
      </c>
      <c r="B52" s="66">
        <v>77.7</v>
      </c>
      <c r="C52" s="66">
        <f>B52*ТАРИФЫ!F21</f>
        <v>857.80799999999999</v>
      </c>
      <c r="D52" s="65">
        <v>668.6</v>
      </c>
      <c r="E52" s="65">
        <f>D52*ТАРИФЫ!F5/1000</f>
        <v>6980.5049280000003</v>
      </c>
      <c r="F52" s="65">
        <v>64.7</v>
      </c>
      <c r="G52" s="65">
        <f>F52*ТАРИФЫ!F5/1000</f>
        <v>675.499056</v>
      </c>
      <c r="H52" s="65">
        <v>2500.1999999999998</v>
      </c>
      <c r="I52" s="65">
        <f>H52*ТАРИФЫ!F10/1000</f>
        <v>222.31778399999996</v>
      </c>
      <c r="J52" s="65">
        <f>H52</f>
        <v>2500.1999999999998</v>
      </c>
      <c r="K52" s="65">
        <f>J52*ТАРИФЫ!F15/1000</f>
        <v>421.53371999999996</v>
      </c>
      <c r="L52" s="65">
        <v>70</v>
      </c>
      <c r="M52" s="65">
        <f>L52*ТАРИФЫ!D26/1000</f>
        <v>37.555</v>
      </c>
      <c r="N52" s="65">
        <f>SUM(C52,E52,G52,I52,K52)+M52</f>
        <v>9195.2184880000004</v>
      </c>
      <c r="O52" s="52"/>
      <c r="P52" s="53"/>
    </row>
    <row r="53" spans="1:16" ht="20.100000000000001" customHeight="1" thickBot="1" x14ac:dyDescent="0.35">
      <c r="A53" s="64" t="s">
        <v>40</v>
      </c>
      <c r="B53" s="66">
        <v>69.3</v>
      </c>
      <c r="C53" s="66">
        <f>B53*ТАРИФЫ!G21</f>
        <v>795.67487999999992</v>
      </c>
      <c r="D53" s="65">
        <v>276.5</v>
      </c>
      <c r="E53" s="65">
        <f>D53*ТАРИФЫ!G5/1000</f>
        <v>2963.4385199999997</v>
      </c>
      <c r="F53" s="65">
        <v>33.299999999999997</v>
      </c>
      <c r="G53" s="65">
        <f>F53*ТАРИФЫ!G5/1000</f>
        <v>356.89874399999991</v>
      </c>
      <c r="H53" s="65">
        <v>1941.9</v>
      </c>
      <c r="I53" s="65">
        <f>H53*ТАРИФЫ!G10/1000</f>
        <v>179.43155999999999</v>
      </c>
      <c r="J53" s="65">
        <f>H53</f>
        <v>1941.9</v>
      </c>
      <c r="K53" s="65">
        <f>J53*ТАРИФЫ!G15/1000</f>
        <v>341.15299200000004</v>
      </c>
      <c r="L53" s="65">
        <v>70</v>
      </c>
      <c r="M53" s="65">
        <f>L53*ТАРИФЫ!E26/1000</f>
        <v>40.046999999999997</v>
      </c>
      <c r="N53" s="65">
        <f>SUM(C53,E53,G53,I53,K53)+M53</f>
        <v>4676.6436959999992</v>
      </c>
      <c r="O53" s="52"/>
      <c r="P53" s="53"/>
    </row>
    <row r="54" spans="1:16" ht="71.25" customHeight="1" thickBot="1" x14ac:dyDescent="0.35">
      <c r="A54" s="64" t="s">
        <v>63</v>
      </c>
      <c r="B54" s="65">
        <f>B55+B56</f>
        <v>38.599999999999994</v>
      </c>
      <c r="C54" s="65">
        <f>C55+C56+0.1</f>
        <v>434.94351999999992</v>
      </c>
      <c r="D54" s="65">
        <f t="shared" ref="D54:K54" si="16">D55+D56</f>
        <v>375.7</v>
      </c>
      <c r="E54" s="65">
        <f t="shared" si="16"/>
        <v>6522.555848</v>
      </c>
      <c r="F54" s="65">
        <f t="shared" si="16"/>
        <v>73.400000000000006</v>
      </c>
      <c r="G54" s="65">
        <f>G55+G56</f>
        <v>1516.8191280000001</v>
      </c>
      <c r="H54" s="65">
        <f t="shared" si="16"/>
        <v>1899</v>
      </c>
      <c r="I54" s="65">
        <f>I55+I56</f>
        <v>306.74555999999995</v>
      </c>
      <c r="J54" s="65">
        <f t="shared" si="16"/>
        <v>1899</v>
      </c>
      <c r="K54" s="65">
        <f t="shared" si="16"/>
        <v>291.25527999999997</v>
      </c>
      <c r="L54" s="65">
        <f>L55+L56</f>
        <v>49.8</v>
      </c>
      <c r="M54" s="65">
        <f>M55+M56</f>
        <v>27.604139999999997</v>
      </c>
      <c r="N54" s="65">
        <f>N55+N56+0.1</f>
        <v>9099.9234759999981</v>
      </c>
      <c r="O54" s="52"/>
      <c r="P54" s="53"/>
    </row>
    <row r="55" spans="1:16" ht="20.100000000000001" customHeight="1" thickBot="1" x14ac:dyDescent="0.35">
      <c r="A55" s="64" t="s">
        <v>21</v>
      </c>
      <c r="B55" s="66">
        <v>18.899999999999999</v>
      </c>
      <c r="C55" s="66">
        <f>B55*ТАРИФЫ!F21</f>
        <v>208.65599999999998</v>
      </c>
      <c r="D55" s="65">
        <v>240</v>
      </c>
      <c r="E55" s="65">
        <v>3649.7</v>
      </c>
      <c r="F55" s="65">
        <v>37.700000000000003</v>
      </c>
      <c r="G55" s="65">
        <f>F55*ТАРИФЫ!F8/1000</f>
        <v>761.02728000000002</v>
      </c>
      <c r="H55" s="65">
        <v>993</v>
      </c>
      <c r="I55" s="65">
        <f>H55*ТАРИФЫ!F13/1000</f>
        <v>158.12531999999999</v>
      </c>
      <c r="J55" s="65">
        <f>H55</f>
        <v>993</v>
      </c>
      <c r="K55" s="65">
        <v>160.9</v>
      </c>
      <c r="L55" s="65">
        <v>24.9</v>
      </c>
      <c r="M55" s="65">
        <f>L55*ТАРИФЫ!D29/1000</f>
        <v>13.358849999999999</v>
      </c>
      <c r="N55" s="65">
        <f t="shared" ref="N55:N60" si="17">SUM(C55,E55,G55,I55,K55)+M55</f>
        <v>4951.7674499999994</v>
      </c>
      <c r="O55" s="52"/>
      <c r="P55" s="53"/>
    </row>
    <row r="56" spans="1:16" ht="20.100000000000001" customHeight="1" thickBot="1" x14ac:dyDescent="0.35">
      <c r="A56" s="64" t="s">
        <v>40</v>
      </c>
      <c r="B56" s="66">
        <v>19.7</v>
      </c>
      <c r="C56" s="66">
        <f>B56*ТАРИФЫ!G21</f>
        <v>226.18751999999995</v>
      </c>
      <c r="D56" s="65">
        <v>135.69999999999999</v>
      </c>
      <c r="E56" s="65">
        <f>D56*ТАРИФЫ!G8/1000</f>
        <v>2872.8558479999997</v>
      </c>
      <c r="F56" s="65">
        <v>35.700000000000003</v>
      </c>
      <c r="G56" s="65">
        <f>F56*ТАРИФЫ!G8/1000</f>
        <v>755.79184799999996</v>
      </c>
      <c r="H56" s="65">
        <v>906</v>
      </c>
      <c r="I56" s="65">
        <f>H56*ТАРИФЫ!G13/1000</f>
        <v>148.62024</v>
      </c>
      <c r="J56" s="65">
        <f>H56</f>
        <v>906</v>
      </c>
      <c r="K56" s="65">
        <f>J56*ТАРИФЫ!G19/1000</f>
        <v>130.35527999999999</v>
      </c>
      <c r="L56" s="65">
        <v>24.9</v>
      </c>
      <c r="M56" s="65">
        <f>L56*ТАРИФЫ!E29/1000</f>
        <v>14.245289999999999</v>
      </c>
      <c r="N56" s="65">
        <f t="shared" si="17"/>
        <v>4148.0560259999993</v>
      </c>
      <c r="O56" s="52"/>
      <c r="P56" s="53"/>
    </row>
    <row r="57" spans="1:16" ht="72" customHeight="1" thickBot="1" x14ac:dyDescent="0.35">
      <c r="A57" s="68" t="s">
        <v>64</v>
      </c>
      <c r="B57" s="65">
        <f>B58+B59</f>
        <v>33.4</v>
      </c>
      <c r="C57" s="65">
        <f>C58+C59</f>
        <v>376.1107199999999</v>
      </c>
      <c r="D57" s="65">
        <f t="shared" ref="D57:J57" si="18">D58+D59</f>
        <v>492.9</v>
      </c>
      <c r="E57" s="65">
        <f>E58+E59</f>
        <v>10713.586343999999</v>
      </c>
      <c r="F57" s="65">
        <f t="shared" si="18"/>
        <v>0</v>
      </c>
      <c r="G57" s="65">
        <f t="shared" si="18"/>
        <v>0</v>
      </c>
      <c r="H57" s="65">
        <f t="shared" si="18"/>
        <v>575.09999999999991</v>
      </c>
      <c r="I57" s="65">
        <f>I58+I59</f>
        <v>51.843287999999987</v>
      </c>
      <c r="J57" s="65">
        <f t="shared" si="18"/>
        <v>575.09999999999991</v>
      </c>
      <c r="K57" s="65">
        <f>K58+K59</f>
        <v>80.725943999999998</v>
      </c>
      <c r="L57" s="65">
        <f>L58+L59</f>
        <v>13.8</v>
      </c>
      <c r="M57" s="65">
        <f>M58+M59</f>
        <v>7.6493400000000005</v>
      </c>
      <c r="N57" s="65">
        <f>SUM(C57,E57,G57,I57,K57)+M57-0.1</f>
        <v>11229.815635999999</v>
      </c>
      <c r="O57" s="53"/>
      <c r="P57" s="53"/>
    </row>
    <row r="58" spans="1:16" ht="20.100000000000001" customHeight="1" thickBot="1" x14ac:dyDescent="0.35">
      <c r="A58" s="64" t="s">
        <v>21</v>
      </c>
      <c r="B58" s="69">
        <v>16.7</v>
      </c>
      <c r="C58" s="66">
        <f>B58*ТАРИФЫ!F21</f>
        <v>184.36799999999997</v>
      </c>
      <c r="D58" s="65">
        <v>318.39999999999998</v>
      </c>
      <c r="E58" s="66">
        <f>D58*ТАРИФЫ!F7/1000</f>
        <v>6895.5123839999987</v>
      </c>
      <c r="F58" s="65">
        <v>0</v>
      </c>
      <c r="G58" s="66">
        <v>0</v>
      </c>
      <c r="H58" s="65">
        <v>372.4</v>
      </c>
      <c r="I58" s="66">
        <f>H58*ТАРИФЫ!F12/1000</f>
        <v>33.113807999999992</v>
      </c>
      <c r="J58" s="65">
        <f>H58</f>
        <v>372.4</v>
      </c>
      <c r="K58" s="66">
        <f>J58*ТАРИФЫ!F17/1000</f>
        <v>51.391199999999998</v>
      </c>
      <c r="L58" s="65">
        <v>6.9</v>
      </c>
      <c r="M58" s="65">
        <f>L58*ТАРИФЫ!D28/1000</f>
        <v>3.7018500000000003</v>
      </c>
      <c r="N58" s="65">
        <f t="shared" si="17"/>
        <v>7168.0872419999996</v>
      </c>
      <c r="O58" s="53"/>
      <c r="P58" s="53"/>
    </row>
    <row r="59" spans="1:16" ht="20.100000000000001" customHeight="1" thickBot="1" x14ac:dyDescent="0.35">
      <c r="A59" s="64" t="s">
        <v>40</v>
      </c>
      <c r="B59" s="66">
        <v>16.7</v>
      </c>
      <c r="C59" s="66">
        <f>B59*ТАРИФЫ!G21</f>
        <v>191.74271999999996</v>
      </c>
      <c r="D59" s="65">
        <v>174.5</v>
      </c>
      <c r="E59" s="66">
        <f>D59*ТАРИФЫ!G7/1000</f>
        <v>3818.0739600000006</v>
      </c>
      <c r="F59" s="65">
        <v>0</v>
      </c>
      <c r="G59" s="66">
        <v>0</v>
      </c>
      <c r="H59" s="65">
        <v>202.7</v>
      </c>
      <c r="I59" s="66">
        <f>H59*ТАРИФЫ!G12/1000</f>
        <v>18.729479999999995</v>
      </c>
      <c r="J59" s="65">
        <f>H59</f>
        <v>202.7</v>
      </c>
      <c r="K59" s="66">
        <f>J59*ТАРИФЫ!G17/1000</f>
        <v>29.334743999999997</v>
      </c>
      <c r="L59" s="65">
        <v>6.9</v>
      </c>
      <c r="M59" s="65">
        <f>L59*ТАРИФЫ!E28/1000</f>
        <v>3.9474900000000002</v>
      </c>
      <c r="N59" s="65">
        <f>SUM(C59,E59,G59,I59,K59)+M59-0.1</f>
        <v>4061.7283940000007</v>
      </c>
      <c r="O59" s="53"/>
      <c r="P59" s="53"/>
    </row>
    <row r="60" spans="1:16" ht="60" customHeight="1" thickBot="1" x14ac:dyDescent="0.35">
      <c r="A60" s="64" t="s">
        <v>104</v>
      </c>
      <c r="B60" s="65">
        <f>B61+B62</f>
        <v>97.1</v>
      </c>
      <c r="C60" s="65">
        <f>C61+C62-0.1</f>
        <v>1089.9895999999999</v>
      </c>
      <c r="D60" s="65">
        <f t="shared" ref="D60:J60" si="19">D61+D62</f>
        <v>824.90000000000009</v>
      </c>
      <c r="E60" s="65">
        <f>E61+E62</f>
        <v>8702.6082719999995</v>
      </c>
      <c r="F60" s="65">
        <f t="shared" si="19"/>
        <v>127.5</v>
      </c>
      <c r="G60" s="65">
        <f>G61+G62</f>
        <v>1346.2131599999998</v>
      </c>
      <c r="H60" s="65">
        <f t="shared" si="19"/>
        <v>4586.1000000000004</v>
      </c>
      <c r="I60" s="65">
        <f>I61+I62</f>
        <v>414.00641999999993</v>
      </c>
      <c r="J60" s="65">
        <f t="shared" si="19"/>
        <v>4586.1000000000004</v>
      </c>
      <c r="K60" s="65">
        <f>K61+K62-0.1</f>
        <v>785.75142799999992</v>
      </c>
      <c r="L60" s="65">
        <f t="shared" ref="L60" si="20">L61+L62</f>
        <v>197</v>
      </c>
      <c r="M60" s="65">
        <f>M61+M62</f>
        <v>109.19710000000001</v>
      </c>
      <c r="N60" s="65">
        <f t="shared" si="17"/>
        <v>12447.765979999996</v>
      </c>
      <c r="O60" s="53"/>
      <c r="P60" s="53"/>
    </row>
    <row r="61" spans="1:16" ht="20.100000000000001" customHeight="1" thickBot="1" x14ac:dyDescent="0.35">
      <c r="A61" s="64" t="s">
        <v>21</v>
      </c>
      <c r="B61" s="66">
        <v>56.1</v>
      </c>
      <c r="C61" s="66">
        <f>B61*ТАРИФЫ!F21</f>
        <v>619.34399999999994</v>
      </c>
      <c r="D61" s="65">
        <v>499.3</v>
      </c>
      <c r="E61" s="65">
        <f>D61*ТАРИФЫ!F5/1000</f>
        <v>5212.9316639999997</v>
      </c>
      <c r="F61" s="65">
        <v>73.2</v>
      </c>
      <c r="G61" s="65">
        <f>F61*ТАРИФЫ!F5/1000</f>
        <v>764.24313599999994</v>
      </c>
      <c r="H61" s="65">
        <v>2801.5</v>
      </c>
      <c r="I61" s="65">
        <f>H61*ТАРИФЫ!F10/1000</f>
        <v>249.10937999999999</v>
      </c>
      <c r="J61" s="65">
        <f>H61</f>
        <v>2801.5</v>
      </c>
      <c r="K61" s="65">
        <f>J61*ТАРИФЫ!F15/1000</f>
        <v>472.33289999999994</v>
      </c>
      <c r="L61" s="65">
        <v>98.5</v>
      </c>
      <c r="M61" s="65">
        <f>L61*ТАРИФЫ!D26/1000</f>
        <v>52.84525</v>
      </c>
      <c r="N61" s="65">
        <f>SUM(C61,E61,G61,I61,K61)+M61-0.2</f>
        <v>7370.6063300000005</v>
      </c>
      <c r="O61" s="53"/>
      <c r="P61" s="53"/>
    </row>
    <row r="62" spans="1:16" ht="20.100000000000001" customHeight="1" thickBot="1" x14ac:dyDescent="0.35">
      <c r="A62" s="64" t="s">
        <v>40</v>
      </c>
      <c r="B62" s="66">
        <v>41</v>
      </c>
      <c r="C62" s="66">
        <f>B62*ТАРИФЫ!G21</f>
        <v>470.74559999999991</v>
      </c>
      <c r="D62" s="65">
        <v>325.60000000000002</v>
      </c>
      <c r="E62" s="65">
        <f>D62*ТАРИФЫ!G5/1000</f>
        <v>3489.6766079999998</v>
      </c>
      <c r="F62" s="65">
        <v>54.3</v>
      </c>
      <c r="G62" s="65">
        <f>F62*ТАРИФЫ!G5/1000</f>
        <v>581.97002399999985</v>
      </c>
      <c r="H62" s="65">
        <v>1784.6</v>
      </c>
      <c r="I62" s="65">
        <f>H62*ТАРИФЫ!G10/1000</f>
        <v>164.89703999999998</v>
      </c>
      <c r="J62" s="65">
        <f>H62</f>
        <v>1784.6</v>
      </c>
      <c r="K62" s="65">
        <f>J62*ТАРИФЫ!G15/1000</f>
        <v>313.518528</v>
      </c>
      <c r="L62" s="65">
        <v>98.5</v>
      </c>
      <c r="M62" s="65">
        <f>L62*ТАРИФЫ!E26/1000</f>
        <v>56.351850000000006</v>
      </c>
      <c r="N62" s="65">
        <f>SUM(C62,E62,G62,I62,K62)+M62</f>
        <v>5077.1596499999987</v>
      </c>
      <c r="O62" s="52"/>
      <c r="P62" s="53"/>
    </row>
    <row r="63" spans="1:16" ht="63.75" customHeight="1" thickBot="1" x14ac:dyDescent="0.35">
      <c r="A63" s="64" t="s">
        <v>94</v>
      </c>
      <c r="B63" s="65">
        <f>B64+B65</f>
        <v>52.599999999999994</v>
      </c>
      <c r="C63" s="65">
        <f>C64+C65</f>
        <v>592.93631999999991</v>
      </c>
      <c r="D63" s="65">
        <f t="shared" ref="D63:J63" si="21">D64+D65</f>
        <v>596.79999999999995</v>
      </c>
      <c r="E63" s="65">
        <f>E64+E65-0.1</f>
        <v>6312.0535039999995</v>
      </c>
      <c r="F63" s="65">
        <f t="shared" si="21"/>
        <v>146.69999999999999</v>
      </c>
      <c r="G63" s="65">
        <f>G64+G65-0.1</f>
        <v>1549.0651760000001</v>
      </c>
      <c r="H63" s="65">
        <f t="shared" si="21"/>
        <v>2989.3999999999996</v>
      </c>
      <c r="I63" s="65">
        <f>I64+I65+0.1</f>
        <v>270.646072</v>
      </c>
      <c r="J63" s="65">
        <f t="shared" si="21"/>
        <v>2989.3999999999996</v>
      </c>
      <c r="K63" s="65">
        <f>K64+K65</f>
        <v>513.63314400000002</v>
      </c>
      <c r="L63" s="65">
        <f t="shared" ref="L63" si="22">L64+L65</f>
        <v>67.8</v>
      </c>
      <c r="M63" s="65">
        <f>M64+M65</f>
        <v>37.581539999999997</v>
      </c>
      <c r="N63" s="65">
        <f>SUM(C63,E63,G63,I63,K63)+M63</f>
        <v>9275.9157559999985</v>
      </c>
      <c r="O63" s="53"/>
      <c r="P63" s="53"/>
    </row>
    <row r="64" spans="1:16" ht="20.100000000000001" customHeight="1" thickBot="1" x14ac:dyDescent="0.35">
      <c r="A64" s="64" t="s">
        <v>21</v>
      </c>
      <c r="B64" s="66">
        <v>24.9</v>
      </c>
      <c r="C64" s="66">
        <f>B64*ТАРИФЫ!F21</f>
        <v>274.89599999999996</v>
      </c>
      <c r="D64" s="65">
        <v>303.60000000000002</v>
      </c>
      <c r="E64" s="65">
        <f>D64*ТАРИФЫ!F5/1000</f>
        <v>3169.7297280000003</v>
      </c>
      <c r="F64" s="65">
        <v>83.4</v>
      </c>
      <c r="G64" s="65">
        <f>F64*ТАРИФЫ!F5/1000</f>
        <v>870.73603200000002</v>
      </c>
      <c r="H64" s="65">
        <v>1630.6</v>
      </c>
      <c r="I64" s="65">
        <f>H64*ТАРИФЫ!F10/1000</f>
        <v>144.99295199999997</v>
      </c>
      <c r="J64" s="65">
        <f>H64</f>
        <v>1630.6</v>
      </c>
      <c r="K64" s="65">
        <f>J64*ТАРИФЫ!F15/1000</f>
        <v>274.91915999999998</v>
      </c>
      <c r="L64" s="65">
        <v>33.9</v>
      </c>
      <c r="M64" s="65">
        <f>L64*ТАРИФЫ!D26/1000</f>
        <v>18.187349999999999</v>
      </c>
      <c r="N64" s="65">
        <f>SUM(C64,E64,G64,I64,K64)+M64-0.1</f>
        <v>4753.3612219999995</v>
      </c>
      <c r="O64" s="53"/>
      <c r="P64" s="53"/>
    </row>
    <row r="65" spans="1:16" ht="20.100000000000001" customHeight="1" thickBot="1" x14ac:dyDescent="0.35">
      <c r="A65" s="64" t="s">
        <v>40</v>
      </c>
      <c r="B65" s="66">
        <v>27.7</v>
      </c>
      <c r="C65" s="66">
        <f>B65*ТАРИФЫ!G21</f>
        <v>318.04031999999995</v>
      </c>
      <c r="D65" s="65">
        <v>293.2</v>
      </c>
      <c r="E65" s="65">
        <f>D65*ТАРИФЫ!G5/1000</f>
        <v>3142.4237759999996</v>
      </c>
      <c r="F65" s="65">
        <v>63.3</v>
      </c>
      <c r="G65" s="65">
        <f>F65*ТАРИФЫ!G5/1000</f>
        <v>678.42914399999984</v>
      </c>
      <c r="H65" s="65">
        <v>1358.8</v>
      </c>
      <c r="I65" s="65">
        <f>H65*ТАРИФЫ!G10/1000</f>
        <v>125.55311999999998</v>
      </c>
      <c r="J65" s="65">
        <f>H65</f>
        <v>1358.8</v>
      </c>
      <c r="K65" s="65">
        <f>J65*ТАРИФЫ!G15/1000</f>
        <v>238.71398400000001</v>
      </c>
      <c r="L65" s="65">
        <v>33.9</v>
      </c>
      <c r="M65" s="65">
        <f>L65*ТАРИФЫ!E26/1000</f>
        <v>19.394189999999998</v>
      </c>
      <c r="N65" s="65">
        <f>SUM(C65,E65,G65,I65,K65)+M65-0.1</f>
        <v>4522.4545339999986</v>
      </c>
      <c r="O65" s="53"/>
      <c r="P65" s="53"/>
    </row>
    <row r="66" spans="1:16" ht="63.75" customHeight="1" thickBot="1" x14ac:dyDescent="0.35">
      <c r="A66" s="64" t="s">
        <v>65</v>
      </c>
      <c r="B66" s="65">
        <f>B67+B68</f>
        <v>49.1</v>
      </c>
      <c r="C66" s="65">
        <f>C67+C68</f>
        <v>552.92735999999991</v>
      </c>
      <c r="D66" s="65">
        <f t="shared" ref="D66:J66" si="23">D67+D68</f>
        <v>883.9</v>
      </c>
      <c r="E66" s="65">
        <f>E67+E68</f>
        <v>18187.144536</v>
      </c>
      <c r="F66" s="65">
        <f t="shared" si="23"/>
        <v>46.099999999999994</v>
      </c>
      <c r="G66" s="65">
        <f>G67+G68-0.1</f>
        <v>951.85104799999988</v>
      </c>
      <c r="H66" s="65">
        <f t="shared" si="23"/>
        <v>1991.7</v>
      </c>
      <c r="I66" s="65">
        <f>I67+I68</f>
        <v>321.67366800000002</v>
      </c>
      <c r="J66" s="65">
        <f t="shared" si="23"/>
        <v>1991.7</v>
      </c>
      <c r="K66" s="65">
        <f>K67+K68</f>
        <v>279.50307599999996</v>
      </c>
      <c r="L66" s="65">
        <f>L67+L68</f>
        <v>49.8</v>
      </c>
      <c r="M66" s="65">
        <f>M67+M68</f>
        <v>27.604139999999997</v>
      </c>
      <c r="N66" s="65">
        <f>SUM(C66,E66,G66,I66,K66)+M66</f>
        <v>20320.703828000002</v>
      </c>
      <c r="O66" s="53"/>
      <c r="P66" s="53"/>
    </row>
    <row r="67" spans="1:16" ht="20.100000000000001" customHeight="1" thickBot="1" x14ac:dyDescent="0.35">
      <c r="A67" s="64" t="s">
        <v>21</v>
      </c>
      <c r="B67" s="66">
        <v>24.5</v>
      </c>
      <c r="C67" s="66">
        <f>B67*ТАРИФЫ!F21</f>
        <v>270.47999999999996</v>
      </c>
      <c r="D67" s="65">
        <v>534</v>
      </c>
      <c r="E67" s="65">
        <f>D67*ТАРИФЫ!F8/1000</f>
        <v>10779.5376</v>
      </c>
      <c r="F67" s="65">
        <v>24.4</v>
      </c>
      <c r="G67" s="65">
        <f>F67*ТАРИФЫ!F8/1000</f>
        <v>492.54815999999994</v>
      </c>
      <c r="H67" s="65">
        <v>1051</v>
      </c>
      <c r="I67" s="65">
        <f>H67*ТАРИФЫ!F13/1000</f>
        <v>167.36123999999998</v>
      </c>
      <c r="J67" s="65">
        <v>1051</v>
      </c>
      <c r="K67" s="65">
        <f>J67*ТАРИФЫ!F19/1000</f>
        <v>144.15516</v>
      </c>
      <c r="L67" s="65">
        <v>24.9</v>
      </c>
      <c r="M67" s="65">
        <f>L67*ТАРИФЫ!D29/1000</f>
        <v>13.358849999999999</v>
      </c>
      <c r="N67" s="65">
        <f>SUM(C67,E67,G67,I67,K67)+M67+0.1</f>
        <v>11867.541010000001</v>
      </c>
      <c r="O67" s="53"/>
      <c r="P67" s="53"/>
    </row>
    <row r="68" spans="1:16" ht="20.100000000000001" customHeight="1" thickBot="1" x14ac:dyDescent="0.35">
      <c r="A68" s="64" t="s">
        <v>40</v>
      </c>
      <c r="B68" s="66">
        <v>24.6</v>
      </c>
      <c r="C68" s="66">
        <f>B68*ТАРИФЫ!G21</f>
        <v>282.44736</v>
      </c>
      <c r="D68" s="65">
        <v>349.9</v>
      </c>
      <c r="E68" s="65">
        <f>D68*ТАРИФЫ!G8/1000</f>
        <v>7407.6069360000001</v>
      </c>
      <c r="F68" s="65">
        <v>21.7</v>
      </c>
      <c r="G68" s="65">
        <f>F68*ТАРИФЫ!G8/1000</f>
        <v>459.40288799999996</v>
      </c>
      <c r="H68" s="65">
        <v>940.7</v>
      </c>
      <c r="I68" s="65">
        <f>H68*ТАРИФЫ!G13/1000</f>
        <v>154.31242800000001</v>
      </c>
      <c r="J68" s="65">
        <f>H68</f>
        <v>940.7</v>
      </c>
      <c r="K68" s="65">
        <f>J68*ТАРИФЫ!G19/1000</f>
        <v>135.347916</v>
      </c>
      <c r="L68" s="65">
        <v>24.9</v>
      </c>
      <c r="M68" s="65">
        <f>L68*ТАРИФЫ!E26/1000</f>
        <v>14.245289999999999</v>
      </c>
      <c r="N68" s="65">
        <f>SUM(C68,E68,G68,I68,K68)+M68-0.2</f>
        <v>8453.1628180000007</v>
      </c>
      <c r="O68" s="53"/>
      <c r="P68" s="53"/>
    </row>
    <row r="69" spans="1:16" ht="59.25" customHeight="1" thickBot="1" x14ac:dyDescent="0.35">
      <c r="A69" s="64" t="s">
        <v>96</v>
      </c>
      <c r="B69" s="65">
        <f>B70+B71</f>
        <v>98.699999999999989</v>
      </c>
      <c r="C69" s="65">
        <f>C70+C71</f>
        <v>1119.3033599999999</v>
      </c>
      <c r="D69" s="65">
        <f t="shared" ref="D69:J69" si="24">D70+D71</f>
        <v>557.29999999999995</v>
      </c>
      <c r="E69" s="65">
        <f>E70+E71</f>
        <v>13134.813959999999</v>
      </c>
      <c r="F69" s="65">
        <f>F70+F71</f>
        <v>0</v>
      </c>
      <c r="G69" s="65">
        <f t="shared" si="24"/>
        <v>0</v>
      </c>
      <c r="H69" s="65">
        <f t="shared" si="24"/>
        <v>87.1</v>
      </c>
      <c r="I69" s="65">
        <f>I70+I71</f>
        <v>10.653443999999999</v>
      </c>
      <c r="J69" s="65">
        <f t="shared" si="24"/>
        <v>87.1</v>
      </c>
      <c r="K69" s="65">
        <f>K70+K71</f>
        <v>3.4016759999999993</v>
      </c>
      <c r="L69" s="65">
        <f>L70+L71</f>
        <v>30</v>
      </c>
      <c r="M69" s="65">
        <f>M70+M71</f>
        <v>16.628999999999998</v>
      </c>
      <c r="N69" s="65">
        <f t="shared" ref="N69:N72" si="25">SUM(C69,E69,G69,I69,K69)+M69</f>
        <v>14284.801439999999</v>
      </c>
      <c r="O69" s="53"/>
      <c r="P69" s="53"/>
    </row>
    <row r="70" spans="1:16" ht="20.100000000000001" customHeight="1" thickBot="1" x14ac:dyDescent="0.35">
      <c r="A70" s="64" t="s">
        <v>21</v>
      </c>
      <c r="B70" s="66">
        <v>58.8</v>
      </c>
      <c r="C70" s="66">
        <f>B70*ТАРИФЫ!F22</f>
        <v>656.20799999999997</v>
      </c>
      <c r="D70" s="65">
        <v>321.39999999999998</v>
      </c>
      <c r="E70" s="65">
        <f>D70*ТАРИФЫ!F6/1000</f>
        <v>7510.6937519999992</v>
      </c>
      <c r="F70" s="65">
        <v>0</v>
      </c>
      <c r="G70" s="66">
        <v>0</v>
      </c>
      <c r="H70" s="65">
        <v>43.8</v>
      </c>
      <c r="I70" s="65">
        <f>H70*ТАРИФЫ!F11/1000</f>
        <v>5.150879999999999</v>
      </c>
      <c r="J70" s="65">
        <f>H70</f>
        <v>43.8</v>
      </c>
      <c r="K70" s="65">
        <f>J70*ТАРИФЫ!F16/1000</f>
        <v>1.6714079999999998</v>
      </c>
      <c r="L70" s="65">
        <v>15</v>
      </c>
      <c r="M70" s="65">
        <f>L70*ТАРИФЫ!D27/1000</f>
        <v>8.0474999999999994</v>
      </c>
      <c r="N70" s="65">
        <f>SUM(C70,E70,G70,I70,K70)+M70</f>
        <v>8181.7715399999988</v>
      </c>
      <c r="O70" s="53"/>
      <c r="P70" s="53"/>
    </row>
    <row r="71" spans="1:16" ht="20.100000000000001" customHeight="1" thickBot="1" x14ac:dyDescent="0.35">
      <c r="A71" s="64" t="s">
        <v>40</v>
      </c>
      <c r="B71" s="66">
        <v>39.9</v>
      </c>
      <c r="C71" s="66">
        <f>B71*ТАРИФЫ!G22</f>
        <v>463.09536000000003</v>
      </c>
      <c r="D71" s="65">
        <v>235.9</v>
      </c>
      <c r="E71" s="65">
        <f>D71*ТАРИФЫ!G6/1000</f>
        <v>5624.1202079999994</v>
      </c>
      <c r="F71" s="65">
        <v>0</v>
      </c>
      <c r="G71" s="66">
        <v>0</v>
      </c>
      <c r="H71" s="65">
        <v>43.3</v>
      </c>
      <c r="I71" s="65">
        <f>H71*ТАРИФЫ!G11/1000</f>
        <v>5.5025639999999996</v>
      </c>
      <c r="J71" s="65">
        <f>H71</f>
        <v>43.3</v>
      </c>
      <c r="K71" s="65">
        <f>J71*ТАРИФЫ!G16/1000</f>
        <v>1.7302679999999995</v>
      </c>
      <c r="L71" s="65">
        <v>15</v>
      </c>
      <c r="M71" s="65">
        <f>L71*ТАРИФЫ!E26/1000</f>
        <v>8.5815000000000001</v>
      </c>
      <c r="N71" s="65">
        <f t="shared" si="25"/>
        <v>6103.0299000000005</v>
      </c>
      <c r="O71" s="52"/>
      <c r="P71" s="53"/>
    </row>
    <row r="72" spans="1:16" ht="82.5" customHeight="1" thickBot="1" x14ac:dyDescent="0.35">
      <c r="A72" s="64" t="s">
        <v>97</v>
      </c>
      <c r="B72" s="65">
        <f>B73+B74</f>
        <v>15.5</v>
      </c>
      <c r="C72" s="65">
        <f>C73+C74</f>
        <v>174.82943999999998</v>
      </c>
      <c r="D72" s="65">
        <f t="shared" ref="D72:J72" si="26">D73+D74</f>
        <v>476.5</v>
      </c>
      <c r="E72" s="65">
        <f>E73+E74</f>
        <v>5014.86096</v>
      </c>
      <c r="F72" s="65">
        <f t="shared" si="26"/>
        <v>5.8</v>
      </c>
      <c r="G72" s="65">
        <f t="shared" si="26"/>
        <v>61.330943999999988</v>
      </c>
      <c r="H72" s="65">
        <f t="shared" si="26"/>
        <v>155.30000000000001</v>
      </c>
      <c r="I72" s="65">
        <f>I73+I74</f>
        <v>14.094635999999998</v>
      </c>
      <c r="J72" s="65">
        <f t="shared" si="26"/>
        <v>155.30000000000001</v>
      </c>
      <c r="K72" s="65">
        <f>K73+K74</f>
        <v>26.764139999999998</v>
      </c>
      <c r="L72" s="65">
        <f>L73+L74</f>
        <v>35.799999999999997</v>
      </c>
      <c r="M72" s="65">
        <f>M73+M74</f>
        <v>19.84394</v>
      </c>
      <c r="N72" s="65">
        <f t="shared" si="25"/>
        <v>5311.7240599999996</v>
      </c>
      <c r="O72" s="52"/>
      <c r="P72" s="53"/>
    </row>
    <row r="73" spans="1:16" ht="20.100000000000001" customHeight="1" thickBot="1" x14ac:dyDescent="0.35">
      <c r="A73" s="67" t="s">
        <v>21</v>
      </c>
      <c r="B73" s="66">
        <v>7.1</v>
      </c>
      <c r="C73" s="66">
        <f>B73*ТАРИФЫ!F21</f>
        <v>78.383999999999986</v>
      </c>
      <c r="D73" s="65">
        <v>332.3</v>
      </c>
      <c r="E73" s="65">
        <f>D73*ТАРИФЫ!F5/1000</f>
        <v>3469.3715040000002</v>
      </c>
      <c r="F73" s="65">
        <v>3</v>
      </c>
      <c r="G73" s="65">
        <f>F73*ТАРИФЫ!F5/1000</f>
        <v>31.321439999999999</v>
      </c>
      <c r="H73" s="65">
        <v>73.3</v>
      </c>
      <c r="I73" s="65">
        <f>H73*ТАРИФЫ!F10/1000</f>
        <v>6.5178359999999982</v>
      </c>
      <c r="J73" s="65">
        <f>H73</f>
        <v>73.3</v>
      </c>
      <c r="K73" s="65">
        <f>J73*ТАРИФЫ!F15/1000</f>
        <v>12.358379999999999</v>
      </c>
      <c r="L73" s="65">
        <v>17.899999999999999</v>
      </c>
      <c r="M73" s="65">
        <f>L73*ТАРИФЫ!D26/1000</f>
        <v>9.6033499999999989</v>
      </c>
      <c r="N73" s="65">
        <f>SUM(C73,E73,G73,I73,K73)+M73</f>
        <v>3607.5565100000003</v>
      </c>
      <c r="O73" s="52"/>
      <c r="P73" s="53"/>
    </row>
    <row r="74" spans="1:16" ht="20.100000000000001" customHeight="1" thickBot="1" x14ac:dyDescent="0.35">
      <c r="A74" s="67" t="s">
        <v>40</v>
      </c>
      <c r="B74" s="66">
        <v>8.4</v>
      </c>
      <c r="C74" s="66">
        <f>B74*ТАРИФЫ!G21</f>
        <v>96.445439999999991</v>
      </c>
      <c r="D74" s="65">
        <v>144.19999999999999</v>
      </c>
      <c r="E74" s="65">
        <f>D74*ТАРИФЫ!G5/1000</f>
        <v>1545.4894559999998</v>
      </c>
      <c r="F74" s="65">
        <v>2.8</v>
      </c>
      <c r="G74" s="65">
        <f>F74*ТАРИФЫ!G5/1000</f>
        <v>30.009503999999993</v>
      </c>
      <c r="H74" s="65">
        <v>82</v>
      </c>
      <c r="I74" s="65">
        <f>H74*ТАРИФЫ!G10/1000</f>
        <v>7.5767999999999995</v>
      </c>
      <c r="J74" s="65">
        <f>H74</f>
        <v>82</v>
      </c>
      <c r="K74" s="65">
        <f>J74*ТАРИФЫ!G15/1000</f>
        <v>14.405760000000001</v>
      </c>
      <c r="L74" s="65">
        <v>17.899999999999999</v>
      </c>
      <c r="M74" s="65">
        <f>L74*ТАРИФЫ!E26/1000</f>
        <v>10.240590000000001</v>
      </c>
      <c r="N74" s="65">
        <f>SUM(C74,E74,G74,I74,K74)+M74-0.1</f>
        <v>1704.0675500000002</v>
      </c>
      <c r="O74" s="53"/>
      <c r="P74" s="53"/>
    </row>
    <row r="75" spans="1:16" ht="27" customHeight="1" thickBot="1" x14ac:dyDescent="0.35">
      <c r="A75" s="77" t="s">
        <v>10</v>
      </c>
      <c r="B75" s="65">
        <f>B76+B77</f>
        <v>532</v>
      </c>
      <c r="C75" s="65">
        <f>C76+C77</f>
        <v>5994.4231999999993</v>
      </c>
      <c r="D75" s="65">
        <f t="shared" ref="D75:N75" si="27">D76+D77</f>
        <v>5153.1000000000004</v>
      </c>
      <c r="E75" s="65">
        <f>E76+E77</f>
        <v>78531.566871999996</v>
      </c>
      <c r="F75" s="65">
        <f t="shared" si="27"/>
        <v>497.5</v>
      </c>
      <c r="G75" s="65">
        <f>G76+G77</f>
        <v>6457.677255999999</v>
      </c>
      <c r="H75" s="65">
        <f t="shared" si="27"/>
        <v>16725.8</v>
      </c>
      <c r="I75" s="65">
        <f>I76+I77</f>
        <v>1791.3124319999997</v>
      </c>
      <c r="J75" s="65">
        <f t="shared" si="27"/>
        <v>16725.8</v>
      </c>
      <c r="K75" s="65">
        <f>K76+K77+0.1</f>
        <v>2743.8213999999998</v>
      </c>
      <c r="L75" s="65">
        <f t="shared" si="27"/>
        <v>584</v>
      </c>
      <c r="M75" s="65">
        <f>M76+M77+0.1</f>
        <v>323.61120000000005</v>
      </c>
      <c r="N75" s="65">
        <f t="shared" si="27"/>
        <v>95842.412360000002</v>
      </c>
      <c r="O75" s="53"/>
      <c r="P75" s="53"/>
    </row>
    <row r="76" spans="1:16" ht="20.25" customHeight="1" thickBot="1" x14ac:dyDescent="0.35">
      <c r="A76" s="67" t="s">
        <v>21</v>
      </c>
      <c r="B76" s="66">
        <f>B52+B55+B58+B61+B64+B67+B70+B73</f>
        <v>284.70000000000005</v>
      </c>
      <c r="C76" s="66">
        <f>C73+C70+C67+C64+C61+C58+C55+C52+0.1</f>
        <v>3150.2439999999997</v>
      </c>
      <c r="D76" s="66">
        <f t="shared" ref="D76:H76" si="28">D52+D55+D58+D61+D64+D67+D70+D73</f>
        <v>3217.6000000000004</v>
      </c>
      <c r="E76" s="66">
        <f>E52+E55+E58+E61+E64+E67+E70+E73-0.1</f>
        <v>47667.881560000002</v>
      </c>
      <c r="F76" s="66">
        <f t="shared" si="28"/>
        <v>286.39999999999998</v>
      </c>
      <c r="G76" s="66">
        <f>G52+G55+G58+G61+G64+G67+G70+G73-0.2</f>
        <v>3595.1751039999999</v>
      </c>
      <c r="H76" s="66">
        <f t="shared" si="28"/>
        <v>9465.7999999999993</v>
      </c>
      <c r="I76" s="66">
        <f>I52+I55+I58+I61+I64+I67+I70+I73</f>
        <v>986.6891999999998</v>
      </c>
      <c r="J76" s="66">
        <f>J52+J55+J58+J61+J64+J67+J70+J73</f>
        <v>9465.7999999999993</v>
      </c>
      <c r="K76" s="66">
        <f>K52+K55+K58+K61+K64+K67+K70+K73</f>
        <v>1539.2619279999997</v>
      </c>
      <c r="L76" s="66">
        <f>L52+L55+L58+L61+L64+L67+L70+L73</f>
        <v>292</v>
      </c>
      <c r="M76" s="66">
        <f>M52+M55+M58+M61+M64+M67+M70+M73</f>
        <v>156.65799999999999</v>
      </c>
      <c r="N76" s="65">
        <f>SUM(C76,E76,G76,I76,K76)+M76+0.1</f>
        <v>57096.009792000004</v>
      </c>
      <c r="O76" s="53"/>
      <c r="P76" s="53"/>
    </row>
    <row r="77" spans="1:16" ht="18.75" customHeight="1" thickBot="1" x14ac:dyDescent="0.35">
      <c r="A77" s="67" t="s">
        <v>40</v>
      </c>
      <c r="B77" s="66">
        <f>B53+B56+B59+B62+B65+B68+B71+B74</f>
        <v>247.29999999999998</v>
      </c>
      <c r="C77" s="66">
        <f>C53+C56+C59+C62+C65+C68+C71+C74-0.2</f>
        <v>2844.1792</v>
      </c>
      <c r="D77" s="66">
        <f t="shared" ref="D77:H77" si="29">D53+D56+D59+D62+D65+D68+D71+D74</f>
        <v>1935.5000000000002</v>
      </c>
      <c r="E77" s="66">
        <f>E53+E56+E59+E62+E65+E68+E71+E74</f>
        <v>30863.685311999998</v>
      </c>
      <c r="F77" s="66">
        <f t="shared" si="29"/>
        <v>211.1</v>
      </c>
      <c r="G77" s="66">
        <f>G53+G56+G59+G62+G65+G68+G71+G74</f>
        <v>2862.5021519999996</v>
      </c>
      <c r="H77" s="66">
        <f t="shared" si="29"/>
        <v>7260</v>
      </c>
      <c r="I77" s="66">
        <f>I53+I56+I59+I62+I65+I68+I71+I74</f>
        <v>804.6232319999998</v>
      </c>
      <c r="J77" s="66">
        <f>J53+J56+J59+J62+J65+J68+J71+J74</f>
        <v>7260</v>
      </c>
      <c r="K77" s="66">
        <f>K53+K56+K59+K62+K65+K68+K71+K74-0.1</f>
        <v>1204.4594720000002</v>
      </c>
      <c r="L77" s="66">
        <f>L53+L56+L59+L62+L65+L68+L71+L74</f>
        <v>292</v>
      </c>
      <c r="M77" s="66">
        <f>M53+M56+M59+M62+M65+M68+M71+M74-0.2</f>
        <v>166.85320000000004</v>
      </c>
      <c r="N77" s="65">
        <f>SUM(C77,E77,G77,I77,K77)+M77+0.1</f>
        <v>38746.402567999998</v>
      </c>
      <c r="O77" s="52"/>
      <c r="P77" s="53"/>
    </row>
    <row r="78" spans="1:16" ht="25.5" customHeight="1" thickBot="1" x14ac:dyDescent="0.35">
      <c r="A78" s="78" t="s">
        <v>13</v>
      </c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93"/>
      <c r="O78" s="53"/>
      <c r="P78" s="53"/>
    </row>
    <row r="79" spans="1:16" ht="99" customHeight="1" thickBot="1" x14ac:dyDescent="0.35">
      <c r="A79" s="64" t="s">
        <v>98</v>
      </c>
      <c r="B79" s="65">
        <f>B80+B81</f>
        <v>31</v>
      </c>
      <c r="C79" s="65">
        <f>C80+C81</f>
        <v>348.33407999999997</v>
      </c>
      <c r="D79" s="65">
        <f t="shared" ref="D79:M79" si="30">D80+D81</f>
        <v>315.39999999999998</v>
      </c>
      <c r="E79" s="65">
        <f>E80+E81</f>
        <v>3322.1442719999995</v>
      </c>
      <c r="F79" s="65">
        <f t="shared" si="30"/>
        <v>5.2</v>
      </c>
      <c r="G79" s="65">
        <f>G80+G81</f>
        <v>54.983496000000002</v>
      </c>
      <c r="H79" s="65">
        <f t="shared" si="30"/>
        <v>383.29999999999995</v>
      </c>
      <c r="I79" s="65">
        <f>I80+I81-0.1</f>
        <v>34.55236399999999</v>
      </c>
      <c r="J79" s="65">
        <f t="shared" si="30"/>
        <v>383.29999999999995</v>
      </c>
      <c r="K79" s="65">
        <f>K80+K81-0.1</f>
        <v>65.682668000000007</v>
      </c>
      <c r="L79" s="65">
        <f t="shared" si="30"/>
        <v>42.6</v>
      </c>
      <c r="M79" s="65">
        <f t="shared" si="30"/>
        <v>23.61318</v>
      </c>
      <c r="N79" s="65">
        <f>SUM(C79,E79,G79,I79,K79)+M79</f>
        <v>3849.3100599999993</v>
      </c>
      <c r="O79" s="52"/>
      <c r="P79" s="53"/>
    </row>
    <row r="80" spans="1:16" ht="20.25" customHeight="1" thickBot="1" x14ac:dyDescent="0.35">
      <c r="A80" s="64" t="s">
        <v>21</v>
      </c>
      <c r="B80" s="66">
        <v>17.2</v>
      </c>
      <c r="C80" s="66">
        <f>B80*ТАРИФЫ!F21</f>
        <v>189.88799999999998</v>
      </c>
      <c r="D80" s="65">
        <v>210</v>
      </c>
      <c r="E80" s="65">
        <f>D80*ТАРИФЫ!F5/1000</f>
        <v>2192.5007999999998</v>
      </c>
      <c r="F80" s="65">
        <v>2.7</v>
      </c>
      <c r="G80" s="65">
        <f>F80*ТАРИФЫ!F5/1000</f>
        <v>28.189296000000002</v>
      </c>
      <c r="H80" s="65">
        <v>219.7</v>
      </c>
      <c r="I80" s="65">
        <f>H80*ТАРИФЫ!F10/1000</f>
        <v>19.535723999999995</v>
      </c>
      <c r="J80" s="65">
        <f>H80</f>
        <v>219.7</v>
      </c>
      <c r="K80" s="65">
        <f>J80*ТАРИФЫ!F15/1000</f>
        <v>37.041419999999995</v>
      </c>
      <c r="L80" s="65">
        <v>21.3</v>
      </c>
      <c r="M80" s="65">
        <f>L80*ТАРИФЫ!D26/1000</f>
        <v>11.42745</v>
      </c>
      <c r="N80" s="65">
        <f>SUM(C80,E80,G80,I80,K80)+M80-0.1</f>
        <v>2478.4826899999998</v>
      </c>
      <c r="O80" s="52"/>
      <c r="P80" s="53"/>
    </row>
    <row r="81" spans="1:16" ht="20.25" customHeight="1" thickBot="1" x14ac:dyDescent="0.35">
      <c r="A81" s="64" t="s">
        <v>40</v>
      </c>
      <c r="B81" s="66">
        <v>13.8</v>
      </c>
      <c r="C81" s="66">
        <f>B81*ТАРИФЫ!G21</f>
        <v>158.44607999999999</v>
      </c>
      <c r="D81" s="65">
        <v>105.4</v>
      </c>
      <c r="E81" s="65">
        <f>D81*ТАРИФЫ!G5/1000</f>
        <v>1129.6434719999997</v>
      </c>
      <c r="F81" s="65">
        <v>2.5</v>
      </c>
      <c r="G81" s="65">
        <f>F81*ТАРИФЫ!G5/1000</f>
        <v>26.794199999999996</v>
      </c>
      <c r="H81" s="65">
        <v>163.6</v>
      </c>
      <c r="I81" s="65">
        <f>H81*ТАРИФЫ!G10/1000</f>
        <v>15.116639999999997</v>
      </c>
      <c r="J81" s="65">
        <f>H81</f>
        <v>163.6</v>
      </c>
      <c r="K81" s="65">
        <f>J81*ТАРИФЫ!G15/1000</f>
        <v>28.741247999999999</v>
      </c>
      <c r="L81" s="65">
        <v>21.3</v>
      </c>
      <c r="M81" s="65">
        <f>L81*ТАРИФЫ!E26/1000</f>
        <v>12.185730000000001</v>
      </c>
      <c r="N81" s="65">
        <f>SUM(C81,E81,G81,I81,K81)+M81-0.1</f>
        <v>1370.8273699999997</v>
      </c>
      <c r="O81" s="52"/>
      <c r="P81" s="53"/>
    </row>
    <row r="82" spans="1:16" ht="72" customHeight="1" thickBot="1" x14ac:dyDescent="0.35">
      <c r="A82" s="64" t="s">
        <v>66</v>
      </c>
      <c r="B82" s="65">
        <f>B83+B84</f>
        <v>29.4</v>
      </c>
      <c r="C82" s="65">
        <f>C83+C84</f>
        <v>330.09599999999995</v>
      </c>
      <c r="D82" s="65">
        <f t="shared" ref="D82:J82" si="31">D83+D84</f>
        <v>135</v>
      </c>
      <c r="E82" s="65">
        <f>E83+E84</f>
        <v>2772.8012159999998</v>
      </c>
      <c r="F82" s="65">
        <f t="shared" si="31"/>
        <v>0</v>
      </c>
      <c r="G82" s="65">
        <f t="shared" si="31"/>
        <v>0</v>
      </c>
      <c r="H82" s="65">
        <f t="shared" si="31"/>
        <v>457.6</v>
      </c>
      <c r="I82" s="65">
        <f>I83+I84</f>
        <v>73.955423999999994</v>
      </c>
      <c r="J82" s="65">
        <f t="shared" si="31"/>
        <v>457.6</v>
      </c>
      <c r="K82" s="65">
        <f>K83+K84</f>
        <v>64.286496</v>
      </c>
      <c r="L82" s="65">
        <f t="shared" ref="L82" si="32">L83+L84</f>
        <v>36.799999999999997</v>
      </c>
      <c r="M82" s="65">
        <f>M83+M84</f>
        <v>20.398239999999998</v>
      </c>
      <c r="N82" s="65">
        <f>SUM(C82,E82,G82,I82,K82)+M82+0.1</f>
        <v>3261.6373760000001</v>
      </c>
      <c r="O82" s="53"/>
      <c r="P82" s="53"/>
    </row>
    <row r="83" spans="1:16" ht="20.100000000000001" customHeight="1" thickBot="1" x14ac:dyDescent="0.35">
      <c r="A83" s="64" t="s">
        <v>21</v>
      </c>
      <c r="B83" s="66">
        <v>16.899999999999999</v>
      </c>
      <c r="C83" s="66">
        <f>B83*ТАРИФЫ!F21</f>
        <v>186.57599999999996</v>
      </c>
      <c r="D83" s="65">
        <v>86.6</v>
      </c>
      <c r="E83" s="65">
        <f>D83*ТАРИФЫ!F8/1000</f>
        <v>1748.1422399999997</v>
      </c>
      <c r="F83" s="65">
        <v>0</v>
      </c>
      <c r="G83" s="65">
        <f>F83*ТАРИФЫ!F8/1000</f>
        <v>0</v>
      </c>
      <c r="H83" s="65">
        <v>231.1</v>
      </c>
      <c r="I83" s="65">
        <f>H83*ТАРИФЫ!F13/1000</f>
        <v>36.800363999999995</v>
      </c>
      <c r="J83" s="65">
        <f>H83</f>
        <v>231.1</v>
      </c>
      <c r="K83" s="65">
        <f>J83*ТАРИФЫ!F19/1000</f>
        <v>31.697675999999998</v>
      </c>
      <c r="L83" s="65">
        <v>18.399999999999999</v>
      </c>
      <c r="M83" s="65">
        <f>L83*ТАРИФЫ!D26/1000</f>
        <v>9.871599999999999</v>
      </c>
      <c r="N83" s="65">
        <f>SUM(C83,E83,G83,I83,K83)+M83</f>
        <v>2013.0878799999996</v>
      </c>
      <c r="O83" s="53"/>
      <c r="P83" s="53"/>
    </row>
    <row r="84" spans="1:16" ht="20.100000000000001" customHeight="1" thickBot="1" x14ac:dyDescent="0.35">
      <c r="A84" s="64" t="s">
        <v>40</v>
      </c>
      <c r="B84" s="66">
        <v>12.5</v>
      </c>
      <c r="C84" s="66">
        <f>B84*ТАРИФЫ!G21</f>
        <v>143.51999999999998</v>
      </c>
      <c r="D84" s="65">
        <v>48.4</v>
      </c>
      <c r="E84" s="65">
        <f>D84*ТАРИФЫ!G8/1000</f>
        <v>1024.6589759999999</v>
      </c>
      <c r="F84" s="65">
        <v>0</v>
      </c>
      <c r="G84" s="65">
        <f>F84*ТАРИФЫ!G8/1000</f>
        <v>0</v>
      </c>
      <c r="H84" s="65">
        <v>226.5</v>
      </c>
      <c r="I84" s="65">
        <f>H84*ТАРИФЫ!G13/1000</f>
        <v>37.155059999999999</v>
      </c>
      <c r="J84" s="65">
        <f>H84</f>
        <v>226.5</v>
      </c>
      <c r="K84" s="65">
        <f>J84*ТАРИФЫ!G19/1000</f>
        <v>32.588819999999998</v>
      </c>
      <c r="L84" s="65">
        <v>18.399999999999999</v>
      </c>
      <c r="M84" s="65">
        <f>L84*ТАРИФЫ!E26/1000</f>
        <v>10.526639999999999</v>
      </c>
      <c r="N84" s="65">
        <f>SUM(C84,E84,G84,I84,K84)+M84+0.1</f>
        <v>1248.5494959999999</v>
      </c>
      <c r="O84" s="53"/>
      <c r="P84" s="53"/>
    </row>
    <row r="85" spans="1:16" ht="90.75" customHeight="1" thickBot="1" x14ac:dyDescent="0.35">
      <c r="A85" s="64" t="s">
        <v>67</v>
      </c>
      <c r="B85" s="65">
        <f>B86+B87</f>
        <v>14.2</v>
      </c>
      <c r="C85" s="65">
        <f>C86+C87</f>
        <v>160.13871999999998</v>
      </c>
      <c r="D85" s="65">
        <f t="shared" ref="D85:J85" si="33">D86+D87</f>
        <v>192.2</v>
      </c>
      <c r="E85" s="65">
        <f>E86+E87</f>
        <v>2803.5363239999997</v>
      </c>
      <c r="F85" s="65">
        <f t="shared" si="33"/>
        <v>3.2</v>
      </c>
      <c r="G85" s="65">
        <f t="shared" si="33"/>
        <v>58.091712000000001</v>
      </c>
      <c r="H85" s="65">
        <f t="shared" si="33"/>
        <v>160.69999999999999</v>
      </c>
      <c r="I85" s="65">
        <f>I86+I87</f>
        <v>22.772679999999998</v>
      </c>
      <c r="J85" s="65">
        <f t="shared" si="33"/>
        <v>160.69999999999999</v>
      </c>
      <c r="K85" s="65">
        <f>K86+K87</f>
        <v>23.636144000000002</v>
      </c>
      <c r="L85" s="65">
        <f t="shared" ref="L85" si="34">L86+L87</f>
        <v>9.411999999999999</v>
      </c>
      <c r="M85" s="65">
        <f>M86+M87</f>
        <v>5.1901215999999994</v>
      </c>
      <c r="N85" s="65">
        <f>SUM(C85,E85,G85,I85,K85)+M85-0.1</f>
        <v>3073.2657015999998</v>
      </c>
      <c r="O85" s="52"/>
      <c r="P85" s="53"/>
    </row>
    <row r="86" spans="1:16" ht="20.100000000000001" customHeight="1" thickBot="1" x14ac:dyDescent="0.35">
      <c r="A86" s="67" t="s">
        <v>21</v>
      </c>
      <c r="B86" s="66">
        <f t="shared" ref="B86:D87" si="35">B90+B93+B96+B99</f>
        <v>7.1</v>
      </c>
      <c r="C86" s="66">
        <f>C90+C93+C96+C99+0.1</f>
        <v>78.531999999999982</v>
      </c>
      <c r="D86" s="66">
        <f t="shared" si="35"/>
        <v>113.89999999999999</v>
      </c>
      <c r="E86" s="66">
        <f>E90+E93+E96+E99</f>
        <v>1649.6312519999999</v>
      </c>
      <c r="F86" s="66">
        <f>F90+F93+F96+F99</f>
        <v>1.6</v>
      </c>
      <c r="G86" s="66">
        <f>G90+G93+G96+G99</f>
        <v>28.399871999999998</v>
      </c>
      <c r="H86" s="66">
        <f>H90+H93+H96+H99</f>
        <v>81.8</v>
      </c>
      <c r="I86" s="66">
        <f>I90+I93+I96+I99-0.1</f>
        <v>11.365115999999999</v>
      </c>
      <c r="J86" s="66">
        <f>J90+J93+J96+J99</f>
        <v>81.8</v>
      </c>
      <c r="K86" s="66">
        <f>K90+K93+K96+K99+0.1</f>
        <v>11.82278</v>
      </c>
      <c r="L86" s="66">
        <f>L90+L93+L96+L99+0.1</f>
        <v>4.7119999999999997</v>
      </c>
      <c r="M86" s="66">
        <f>M90+M93+M96+M99-0.1</f>
        <v>2.4012515999999997</v>
      </c>
      <c r="N86" s="65">
        <f>SUM(C86,E86,G86,I86,K86)+M86-0.1</f>
        <v>1782.0522715999998</v>
      </c>
      <c r="O86" s="52"/>
      <c r="P86" s="53"/>
    </row>
    <row r="87" spans="1:16" ht="20.100000000000001" customHeight="1" thickBot="1" x14ac:dyDescent="0.35">
      <c r="A87" s="67" t="s">
        <v>40</v>
      </c>
      <c r="B87" s="66">
        <f t="shared" si="35"/>
        <v>7.1000000000000005</v>
      </c>
      <c r="C87" s="66">
        <f>C91+C94+C97+C100</f>
        <v>81.60672000000001</v>
      </c>
      <c r="D87" s="66">
        <f t="shared" si="35"/>
        <v>78.300000000000011</v>
      </c>
      <c r="E87" s="66">
        <f>E91+E94+E97+E100</f>
        <v>1153.905072</v>
      </c>
      <c r="F87" s="66">
        <f t="shared" ref="F87" si="36">F91+F94+F97+F100</f>
        <v>1.6</v>
      </c>
      <c r="G87" s="66">
        <f>G91+G94+G97+G100</f>
        <v>29.691839999999999</v>
      </c>
      <c r="H87" s="66">
        <f>H91+H94+H97+H100</f>
        <v>78.900000000000006</v>
      </c>
      <c r="I87" s="66">
        <f>I91+I94+I97+I100</f>
        <v>11.407563999999999</v>
      </c>
      <c r="J87" s="66">
        <f>J91+J94+J97+J100</f>
        <v>78.900000000000006</v>
      </c>
      <c r="K87" s="66">
        <f>K91+K94+K97+K100</f>
        <v>11.813364</v>
      </c>
      <c r="L87" s="66">
        <f>L91+L94+L97+L100</f>
        <v>4.6999999999999993</v>
      </c>
      <c r="M87" s="66">
        <f>M91+M94+M97+M100+0.1</f>
        <v>2.7888699999999997</v>
      </c>
      <c r="N87" s="65">
        <f>SUM(C87,E87,G87,I87,K87)+M87</f>
        <v>1291.2134300000002</v>
      </c>
      <c r="O87" s="53"/>
      <c r="P87" s="53"/>
    </row>
    <row r="88" spans="1:16" ht="18" customHeight="1" thickBot="1" x14ac:dyDescent="0.35">
      <c r="A88" s="78" t="s">
        <v>12</v>
      </c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80"/>
      <c r="O88" s="53"/>
      <c r="P88" s="53"/>
    </row>
    <row r="89" spans="1:16" ht="45" customHeight="1" thickBot="1" x14ac:dyDescent="0.35">
      <c r="A89" s="67" t="s">
        <v>68</v>
      </c>
      <c r="B89" s="65">
        <f>B90+B91</f>
        <v>10.100000000000001</v>
      </c>
      <c r="C89" s="65">
        <f>C90+C91</f>
        <v>113.66783999999998</v>
      </c>
      <c r="D89" s="65">
        <f t="shared" ref="D89:M89" si="37">D90+D91</f>
        <v>119.9</v>
      </c>
      <c r="E89" s="65">
        <f>E90+E91</f>
        <v>1265.6458319999999</v>
      </c>
      <c r="F89" s="65">
        <f t="shared" si="37"/>
        <v>0.8</v>
      </c>
      <c r="G89" s="65">
        <f t="shared" si="37"/>
        <v>8.4632639999999988</v>
      </c>
      <c r="H89" s="65">
        <f t="shared" si="37"/>
        <v>42</v>
      </c>
      <c r="I89" s="65">
        <f>I90+I91</f>
        <v>3.8066759999999995</v>
      </c>
      <c r="J89" s="65">
        <f t="shared" si="37"/>
        <v>42</v>
      </c>
      <c r="K89" s="65">
        <f>K90+K91</f>
        <v>7.2277559999999994</v>
      </c>
      <c r="L89" s="65">
        <f t="shared" si="37"/>
        <v>4.5999999999999996</v>
      </c>
      <c r="M89" s="65">
        <f t="shared" si="37"/>
        <v>2.5497799999999997</v>
      </c>
      <c r="N89" s="65">
        <f>N90+N91-0.1</f>
        <v>1401.261148</v>
      </c>
      <c r="O89" s="53"/>
      <c r="P89" s="53"/>
    </row>
    <row r="90" spans="1:16" ht="20.100000000000001" customHeight="1" thickBot="1" x14ac:dyDescent="0.35">
      <c r="A90" s="67" t="s">
        <v>21</v>
      </c>
      <c r="B90" s="66">
        <v>5.2</v>
      </c>
      <c r="C90" s="66">
        <f>B90*ТАРИФЫ!F21</f>
        <v>57.407999999999994</v>
      </c>
      <c r="D90" s="65">
        <v>70</v>
      </c>
      <c r="E90" s="66">
        <f>D90*ТАРИФЫ!F5/1000</f>
        <v>730.83359999999993</v>
      </c>
      <c r="F90" s="65">
        <v>0.4</v>
      </c>
      <c r="G90" s="65">
        <f>F90*ТАРИФЫ!F5/1000</f>
        <v>4.1761920000000003</v>
      </c>
      <c r="H90" s="65">
        <v>21.3</v>
      </c>
      <c r="I90" s="65">
        <f>H90*ТАРИФЫ!F10/1000</f>
        <v>1.8939959999999998</v>
      </c>
      <c r="J90" s="65">
        <f>H90</f>
        <v>21.3</v>
      </c>
      <c r="K90" s="65">
        <f>J90*ТАРИФЫ!F15/1000</f>
        <v>3.59118</v>
      </c>
      <c r="L90" s="65">
        <v>2.2999999999999998</v>
      </c>
      <c r="M90" s="65">
        <f>L90*ТАРИФЫ!D26/1000</f>
        <v>1.2339499999999999</v>
      </c>
      <c r="N90" s="65">
        <f>SUM(C90,E90,G90,I90,K90)+M90</f>
        <v>799.13691800000004</v>
      </c>
      <c r="O90" s="53"/>
      <c r="P90" s="53"/>
    </row>
    <row r="91" spans="1:16" ht="20.100000000000001" customHeight="1" thickBot="1" x14ac:dyDescent="0.35">
      <c r="A91" s="67" t="s">
        <v>40</v>
      </c>
      <c r="B91" s="66">
        <v>4.9000000000000004</v>
      </c>
      <c r="C91" s="66">
        <f>B91*ТАРИФЫ!G21</f>
        <v>56.259839999999997</v>
      </c>
      <c r="D91" s="65">
        <v>49.9</v>
      </c>
      <c r="E91" s="65">
        <f>D91*ТАРИФЫ!G5/1000</f>
        <v>534.81223199999999</v>
      </c>
      <c r="F91" s="65">
        <v>0.4</v>
      </c>
      <c r="G91" s="65">
        <f>F91*ТАРИФЫ!G5/1000</f>
        <v>4.2870719999999993</v>
      </c>
      <c r="H91" s="65">
        <v>20.7</v>
      </c>
      <c r="I91" s="65">
        <f>H91*ТАРИФЫ!G10/1000</f>
        <v>1.9126799999999999</v>
      </c>
      <c r="J91" s="65">
        <f>H91</f>
        <v>20.7</v>
      </c>
      <c r="K91" s="65">
        <f>J91*ТАРИФЫ!G15/1000</f>
        <v>3.6365759999999998</v>
      </c>
      <c r="L91" s="65">
        <v>2.2999999999999998</v>
      </c>
      <c r="M91" s="65">
        <f>L91*ТАРИФЫ!E26/1000</f>
        <v>1.3158299999999998</v>
      </c>
      <c r="N91" s="65">
        <f>SUM(C91,E91,G91,I91,K91)+M91</f>
        <v>602.22422999999992</v>
      </c>
      <c r="O91" s="53"/>
      <c r="P91" s="53"/>
    </row>
    <row r="92" spans="1:16" ht="38.25" customHeight="1" thickBot="1" x14ac:dyDescent="0.35">
      <c r="A92" s="67" t="s">
        <v>69</v>
      </c>
      <c r="B92" s="65">
        <f>B93+B94</f>
        <v>2.8</v>
      </c>
      <c r="C92" s="65">
        <f>C93+C94+0.1</f>
        <v>31.630239999999993</v>
      </c>
      <c r="D92" s="65">
        <f t="shared" ref="D92:J92" si="38">D93+D94</f>
        <v>49.8</v>
      </c>
      <c r="E92" s="65">
        <f>E93+E94-0.1</f>
        <v>1023.8832799999999</v>
      </c>
      <c r="F92" s="65">
        <f t="shared" si="38"/>
        <v>2.4</v>
      </c>
      <c r="G92" s="65">
        <f>G93+G94</f>
        <v>49.628447999999999</v>
      </c>
      <c r="H92" s="65">
        <f t="shared" si="38"/>
        <v>113.8</v>
      </c>
      <c r="I92" s="65">
        <f>I93+I94</f>
        <v>18.389351999999995</v>
      </c>
      <c r="J92" s="65">
        <f t="shared" si="38"/>
        <v>113.8</v>
      </c>
      <c r="K92" s="65">
        <f>K93+K94</f>
        <v>15.983784</v>
      </c>
      <c r="L92" s="65">
        <f t="shared" ref="L92" si="39">L93+L94</f>
        <v>1.556</v>
      </c>
      <c r="M92" s="65">
        <f>M93+M94</f>
        <v>0.89018760000000019</v>
      </c>
      <c r="N92" s="65">
        <f>SUM(C92,E92,G92,I92,K92)+M92</f>
        <v>1140.4052915999998</v>
      </c>
      <c r="O92" s="52"/>
      <c r="P92" s="53"/>
    </row>
    <row r="93" spans="1:16" ht="20.100000000000001" customHeight="1" thickBot="1" x14ac:dyDescent="0.35">
      <c r="A93" s="67" t="s">
        <v>21</v>
      </c>
      <c r="B93" s="66">
        <v>1.4</v>
      </c>
      <c r="C93" s="66">
        <f>B93*ТАРИФЫ!F21</f>
        <v>15.455999999999998</v>
      </c>
      <c r="D93" s="65">
        <v>30.8</v>
      </c>
      <c r="E93" s="65">
        <f>D93*ТАРИФЫ!F8/1000</f>
        <v>621.74112000000002</v>
      </c>
      <c r="F93" s="65">
        <v>1.2</v>
      </c>
      <c r="G93" s="65">
        <f>F93*ТАРИФЫ!F8/1000</f>
        <v>24.223679999999998</v>
      </c>
      <c r="H93" s="65">
        <v>58</v>
      </c>
      <c r="I93" s="65">
        <f>H93*ТАРИФЫ!F13/1000</f>
        <v>9.2359199999999984</v>
      </c>
      <c r="J93" s="65">
        <v>58</v>
      </c>
      <c r="K93" s="65">
        <f>J93*ТАРИФЫ!F19/1000</f>
        <v>7.9552800000000001</v>
      </c>
      <c r="L93" s="65">
        <v>0.75600000000000001</v>
      </c>
      <c r="M93" s="65">
        <f>L93*ТАРИФЫ!E27/1000</f>
        <v>0.43250760000000005</v>
      </c>
      <c r="N93" s="65">
        <f>SUM(C93,E93,G93,I93,K93)+M93</f>
        <v>679.04450759999997</v>
      </c>
      <c r="O93" s="52"/>
      <c r="P93" s="53"/>
    </row>
    <row r="94" spans="1:16" ht="20.100000000000001" customHeight="1" thickBot="1" x14ac:dyDescent="0.35">
      <c r="A94" s="67" t="s">
        <v>40</v>
      </c>
      <c r="B94" s="66">
        <v>1.4</v>
      </c>
      <c r="C94" s="66">
        <f>B94*ТАРИФЫ!G21</f>
        <v>16.074239999999996</v>
      </c>
      <c r="D94" s="65">
        <v>19</v>
      </c>
      <c r="E94" s="65">
        <f>D94*ТАРИФЫ!G8/1000</f>
        <v>402.24215999999996</v>
      </c>
      <c r="F94" s="65">
        <v>1.2</v>
      </c>
      <c r="G94" s="65">
        <f>F94*ТАРИФЫ!G8/1000</f>
        <v>25.404768000000001</v>
      </c>
      <c r="H94" s="65">
        <v>55.8</v>
      </c>
      <c r="I94" s="65">
        <f>H94*ТАРИФЫ!G13/1000</f>
        <v>9.1534319999999987</v>
      </c>
      <c r="J94" s="65">
        <f>H94</f>
        <v>55.8</v>
      </c>
      <c r="K94" s="65">
        <f>J94*ТАРИФЫ!G19/1000</f>
        <v>8.0285039999999999</v>
      </c>
      <c r="L94" s="65">
        <v>0.8</v>
      </c>
      <c r="M94" s="65">
        <f>L94*ТАРИФЫ!E27/1000</f>
        <v>0.45768000000000009</v>
      </c>
      <c r="N94" s="65">
        <f>SUM(C94,E94,G94,I94,K94)+M94</f>
        <v>461.36078399999991</v>
      </c>
      <c r="O94" s="52"/>
      <c r="P94" s="53"/>
    </row>
    <row r="95" spans="1:16" ht="35.25" customHeight="1" thickBot="1" x14ac:dyDescent="0.35">
      <c r="A95" s="67" t="s">
        <v>70</v>
      </c>
      <c r="B95" s="65">
        <f>B96+B97</f>
        <v>1.1000000000000001</v>
      </c>
      <c r="C95" s="65">
        <f>C96+C97</f>
        <v>12.588480000000001</v>
      </c>
      <c r="D95" s="65">
        <f t="shared" ref="D95:J95" si="40">D96+D97</f>
        <v>13.5</v>
      </c>
      <c r="E95" s="65">
        <f>E96+E97</f>
        <v>318.17008799999996</v>
      </c>
      <c r="F95" s="65">
        <f t="shared" si="40"/>
        <v>0</v>
      </c>
      <c r="G95" s="65">
        <f t="shared" si="40"/>
        <v>0</v>
      </c>
      <c r="H95" s="65">
        <f t="shared" si="40"/>
        <v>3.9</v>
      </c>
      <c r="I95" s="65">
        <f>I96+I97-0.1</f>
        <v>0.37665199999999999</v>
      </c>
      <c r="J95" s="65">
        <f t="shared" si="40"/>
        <v>3.9</v>
      </c>
      <c r="K95" s="65">
        <f>K96+K97</f>
        <v>0.15224399999999999</v>
      </c>
      <c r="L95" s="65">
        <f>L96+L97</f>
        <v>1.556</v>
      </c>
      <c r="M95" s="65">
        <f>M96+M97</f>
        <v>0.8632740000000001</v>
      </c>
      <c r="N95" s="65">
        <f>SUM(C95,E95,G95,I95,K95)+M95+0.1</f>
        <v>332.25073799999996</v>
      </c>
      <c r="O95" s="53"/>
      <c r="P95" s="53"/>
    </row>
    <row r="96" spans="1:16" ht="20.100000000000001" customHeight="1" thickBot="1" x14ac:dyDescent="0.35">
      <c r="A96" s="67" t="s">
        <v>21</v>
      </c>
      <c r="B96" s="66">
        <v>0.4</v>
      </c>
      <c r="C96" s="66">
        <f>B96*ТАРИФЫ!F22</f>
        <v>4.4640000000000004</v>
      </c>
      <c r="D96" s="65">
        <v>7.8</v>
      </c>
      <c r="E96" s="65">
        <f>D96*ТАРИФЫ!F6/1000</f>
        <v>182.27570399999999</v>
      </c>
      <c r="F96" s="65">
        <v>0</v>
      </c>
      <c r="G96" s="66">
        <v>0</v>
      </c>
      <c r="H96" s="65">
        <v>2</v>
      </c>
      <c r="I96" s="65">
        <f>H96*ТАРИФЫ!F11/1000</f>
        <v>0.23519999999999999</v>
      </c>
      <c r="J96" s="65">
        <f>H96</f>
        <v>2</v>
      </c>
      <c r="K96" s="65">
        <f>J96*ТАРИФЫ!F16/1000</f>
        <v>7.6319999999999999E-2</v>
      </c>
      <c r="L96" s="65">
        <v>0.75600000000000001</v>
      </c>
      <c r="M96" s="65">
        <f>L96*ТАРИФЫ!D27/1000</f>
        <v>0.40559400000000001</v>
      </c>
      <c r="N96" s="65">
        <f>SUM(C96,E96,G96,I96,K96)+M96</f>
        <v>187.456818</v>
      </c>
      <c r="O96" s="53"/>
      <c r="P96" s="53"/>
    </row>
    <row r="97" spans="1:16" ht="20.100000000000001" customHeight="1" thickBot="1" x14ac:dyDescent="0.35">
      <c r="A97" s="67" t="s">
        <v>40</v>
      </c>
      <c r="B97" s="66">
        <v>0.7</v>
      </c>
      <c r="C97" s="66">
        <f>B97*ТАРИФЫ!G22</f>
        <v>8.1244800000000001</v>
      </c>
      <c r="D97" s="65">
        <v>5.7</v>
      </c>
      <c r="E97" s="65">
        <f>D97*ТАРИФЫ!G6/1000</f>
        <v>135.894384</v>
      </c>
      <c r="F97" s="65">
        <v>0</v>
      </c>
      <c r="G97" s="66">
        <v>0</v>
      </c>
      <c r="H97" s="65">
        <v>1.9</v>
      </c>
      <c r="I97" s="65">
        <f>H97*ТАРИФЫ!G11/1000</f>
        <v>0.241452</v>
      </c>
      <c r="J97" s="65">
        <f>H97</f>
        <v>1.9</v>
      </c>
      <c r="K97" s="65">
        <f>J97*ТАРИФЫ!G16/1000</f>
        <v>7.5923999999999978E-2</v>
      </c>
      <c r="L97" s="65">
        <v>0.8</v>
      </c>
      <c r="M97" s="65">
        <f>L97*ТАРИФЫ!E27/1000</f>
        <v>0.45768000000000009</v>
      </c>
      <c r="N97" s="65">
        <f>SUM(C97,E97,G97,I97,K97)+M97</f>
        <v>144.79392000000001</v>
      </c>
      <c r="O97" s="53"/>
      <c r="P97" s="53"/>
    </row>
    <row r="98" spans="1:16" ht="26.25" customHeight="1" thickBot="1" x14ac:dyDescent="0.35">
      <c r="A98" s="67" t="s">
        <v>71</v>
      </c>
      <c r="B98" s="65">
        <f>B99+B100</f>
        <v>0.2</v>
      </c>
      <c r="C98" s="65">
        <f>C99+C100-0.1</f>
        <v>2.1521599999999999</v>
      </c>
      <c r="D98" s="65">
        <f t="shared" ref="D98:J98" si="41">D99+D100</f>
        <v>9</v>
      </c>
      <c r="E98" s="65">
        <f>E99+E100+0.1</f>
        <v>195.83712400000002</v>
      </c>
      <c r="F98" s="65">
        <f t="shared" si="41"/>
        <v>0</v>
      </c>
      <c r="G98" s="65">
        <f t="shared" si="41"/>
        <v>0</v>
      </c>
      <c r="H98" s="65">
        <f t="shared" si="41"/>
        <v>1</v>
      </c>
      <c r="I98" s="65">
        <f t="shared" si="41"/>
        <v>0.2</v>
      </c>
      <c r="J98" s="65">
        <f t="shared" si="41"/>
        <v>1</v>
      </c>
      <c r="K98" s="65">
        <f>K99+K100</f>
        <v>0.17236000000000001</v>
      </c>
      <c r="L98" s="65">
        <f t="shared" ref="L98:M98" si="42">L99+L100</f>
        <v>1.6</v>
      </c>
      <c r="M98" s="65">
        <f t="shared" si="42"/>
        <v>0.88688000000000011</v>
      </c>
      <c r="N98" s="65">
        <f>SUM(C98,E98,G98,I98,K98)+M98+0.1</f>
        <v>199.348524</v>
      </c>
      <c r="O98" s="52"/>
      <c r="P98" s="53"/>
    </row>
    <row r="99" spans="1:16" ht="20.100000000000001" customHeight="1" thickBot="1" x14ac:dyDescent="0.35">
      <c r="A99" s="67" t="s">
        <v>21</v>
      </c>
      <c r="B99" s="66">
        <v>0.1</v>
      </c>
      <c r="C99" s="66">
        <f>B99*ТАРИФЫ!F21</f>
        <v>1.1039999999999999</v>
      </c>
      <c r="D99" s="65">
        <v>5.3</v>
      </c>
      <c r="E99" s="66">
        <f>D99*ТАРИФЫ!F7/1000</f>
        <v>114.780828</v>
      </c>
      <c r="F99" s="65">
        <v>0</v>
      </c>
      <c r="G99" s="66">
        <v>0</v>
      </c>
      <c r="H99" s="65">
        <v>0.5</v>
      </c>
      <c r="I99" s="66">
        <v>0.1</v>
      </c>
      <c r="J99" s="65">
        <f>H99</f>
        <v>0.5</v>
      </c>
      <c r="K99" s="66">
        <v>0.1</v>
      </c>
      <c r="L99" s="65">
        <v>0.8</v>
      </c>
      <c r="M99" s="65">
        <f>L99*ТАРИФЫ!D27/1000</f>
        <v>0.42920000000000003</v>
      </c>
      <c r="N99" s="65">
        <f t="shared" ref="N99" si="43">SUM(C99,E99,G99,I99,K99)+M99</f>
        <v>116.51402799999998</v>
      </c>
      <c r="O99" s="52"/>
      <c r="P99" s="53"/>
    </row>
    <row r="100" spans="1:16" ht="20.100000000000001" customHeight="1" thickBot="1" x14ac:dyDescent="0.35">
      <c r="A100" s="67" t="s">
        <v>40</v>
      </c>
      <c r="B100" s="66">
        <v>0.1</v>
      </c>
      <c r="C100" s="66">
        <f>B100*ТАРИФЫ!G21</f>
        <v>1.1481599999999998</v>
      </c>
      <c r="D100" s="65">
        <v>3.7</v>
      </c>
      <c r="E100" s="66">
        <f>D100*ТАРИФЫ!G7/1000</f>
        <v>80.956296000000023</v>
      </c>
      <c r="F100" s="65">
        <v>0</v>
      </c>
      <c r="G100" s="66">
        <v>0</v>
      </c>
      <c r="H100" s="65">
        <v>0.5</v>
      </c>
      <c r="I100" s="66">
        <v>0.1</v>
      </c>
      <c r="J100" s="65">
        <f>H100</f>
        <v>0.5</v>
      </c>
      <c r="K100" s="66">
        <f>J100*ТАРИФЫ!G17/1000</f>
        <v>7.2359999999999994E-2</v>
      </c>
      <c r="L100" s="65">
        <v>0.8</v>
      </c>
      <c r="M100" s="65">
        <f>L100*ТАРИФЫ!E27/1000</f>
        <v>0.45768000000000009</v>
      </c>
      <c r="N100" s="65">
        <f>SUM(C100,E100,G100,I100,K100)+M100+0.1</f>
        <v>82.834496000000016</v>
      </c>
      <c r="O100" s="52"/>
      <c r="P100" s="53"/>
    </row>
    <row r="101" spans="1:16" ht="24.75" customHeight="1" thickBot="1" x14ac:dyDescent="0.35">
      <c r="A101" s="77" t="s">
        <v>10</v>
      </c>
      <c r="B101" s="65">
        <f>B102+B103</f>
        <v>74.599999999999994</v>
      </c>
      <c r="C101" s="65">
        <f>C102+C103</f>
        <v>838.46879999999987</v>
      </c>
      <c r="D101" s="65">
        <f t="shared" ref="D101:J101" si="44">D102+D103</f>
        <v>642.6</v>
      </c>
      <c r="E101" s="65">
        <f>E102+E103</f>
        <v>8898.3818119999978</v>
      </c>
      <c r="F101" s="65">
        <f t="shared" si="44"/>
        <v>8.4</v>
      </c>
      <c r="G101" s="65">
        <f>G102+G103</f>
        <v>113.075208</v>
      </c>
      <c r="H101" s="65">
        <f t="shared" si="44"/>
        <v>1001.5999999999999</v>
      </c>
      <c r="I101" s="65">
        <f>I102+I103</f>
        <v>131.38046799999998</v>
      </c>
      <c r="J101" s="65">
        <f t="shared" si="44"/>
        <v>1001.5999999999999</v>
      </c>
      <c r="K101" s="65">
        <f>K102+K103</f>
        <v>153.60530799999998</v>
      </c>
      <c r="L101" s="65">
        <f>L102+L103</f>
        <v>88.812000000000012</v>
      </c>
      <c r="M101" s="65">
        <f>M102+M103</f>
        <v>49.201541599999999</v>
      </c>
      <c r="N101" s="65">
        <f>SUM(C101,E101,G101,I101,K101)+M101+0.1</f>
        <v>10184.213137599998</v>
      </c>
      <c r="O101" s="52"/>
      <c r="P101" s="53"/>
    </row>
    <row r="102" spans="1:16" ht="20.25" customHeight="1" thickBot="1" x14ac:dyDescent="0.35">
      <c r="A102" s="67" t="s">
        <v>21</v>
      </c>
      <c r="B102" s="66">
        <f>B80+B83+B86</f>
        <v>41.199999999999996</v>
      </c>
      <c r="C102" s="66">
        <f>C80+C83+C86</f>
        <v>454.99599999999992</v>
      </c>
      <c r="D102" s="66">
        <f>D80+D83+D86</f>
        <v>410.5</v>
      </c>
      <c r="E102" s="66">
        <f>E80+E83+E86-0.1</f>
        <v>5590.1742919999988</v>
      </c>
      <c r="F102" s="66">
        <f t="shared" ref="F102:J102" si="45">F80+F83+F86</f>
        <v>4.3000000000000007</v>
      </c>
      <c r="G102" s="66">
        <f>G80+G83+G86</f>
        <v>56.589168000000001</v>
      </c>
      <c r="H102" s="66">
        <f t="shared" si="45"/>
        <v>532.59999999999991</v>
      </c>
      <c r="I102" s="66">
        <f>I80+I83+I86</f>
        <v>67.70120399999999</v>
      </c>
      <c r="J102" s="66">
        <f t="shared" si="45"/>
        <v>532.59999999999991</v>
      </c>
      <c r="K102" s="66">
        <f>K80+K83+K86-0.1</f>
        <v>80.46187599999999</v>
      </c>
      <c r="L102" s="66">
        <f t="shared" ref="L102:L103" si="46">L80+L83+L86</f>
        <v>44.412000000000006</v>
      </c>
      <c r="M102" s="66">
        <f>M80+M83+M86</f>
        <v>23.7003016</v>
      </c>
      <c r="N102" s="65">
        <f>SUM(C102,E102,G102,I102,K102)+M102+0.1</f>
        <v>6273.7228415999998</v>
      </c>
      <c r="O102" s="52"/>
      <c r="P102" s="53"/>
    </row>
    <row r="103" spans="1:16" ht="20.25" customHeight="1" thickBot="1" x14ac:dyDescent="0.35">
      <c r="A103" s="67" t="s">
        <v>40</v>
      </c>
      <c r="B103" s="66">
        <f>B81+B84+B87</f>
        <v>33.4</v>
      </c>
      <c r="C103" s="66">
        <f>C81+C84+C87-0.1</f>
        <v>383.47279999999995</v>
      </c>
      <c r="D103" s="66">
        <f>D81+D84+D87</f>
        <v>232.10000000000002</v>
      </c>
      <c r="E103" s="66">
        <f>E81+E84+E87</f>
        <v>3308.2075199999995</v>
      </c>
      <c r="F103" s="66">
        <f t="shared" ref="F103:J103" si="47">F81+F84+F87</f>
        <v>4.0999999999999996</v>
      </c>
      <c r="G103" s="66">
        <f>G81+G84+G87</f>
        <v>56.486039999999996</v>
      </c>
      <c r="H103" s="66">
        <f t="shared" si="47"/>
        <v>469</v>
      </c>
      <c r="I103" s="66">
        <f>I81+I84+I87</f>
        <v>63.679263999999996</v>
      </c>
      <c r="J103" s="66">
        <f t="shared" si="47"/>
        <v>469</v>
      </c>
      <c r="K103" s="66">
        <f>K81+K84+K87</f>
        <v>73.14343199999999</v>
      </c>
      <c r="L103" s="66">
        <f t="shared" si="46"/>
        <v>44.400000000000006</v>
      </c>
      <c r="M103" s="66">
        <f>M81+M84+M87</f>
        <v>25.501239999999999</v>
      </c>
      <c r="N103" s="65">
        <f>SUM(C103,E103,G103,I103,K103)+M103</f>
        <v>3910.490295999999</v>
      </c>
      <c r="O103" s="53"/>
      <c r="P103" s="53"/>
    </row>
    <row r="104" spans="1:16" ht="27.75" customHeight="1" thickBot="1" x14ac:dyDescent="0.35">
      <c r="A104" s="78" t="s">
        <v>39</v>
      </c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80"/>
      <c r="O104" s="53"/>
      <c r="P104" s="53"/>
    </row>
    <row r="105" spans="1:16" ht="27" customHeight="1" thickBot="1" x14ac:dyDescent="0.35">
      <c r="A105" s="77" t="s">
        <v>10</v>
      </c>
      <c r="B105" s="65">
        <f>B106+B107</f>
        <v>545.5</v>
      </c>
      <c r="C105" s="65">
        <f>C106+C107-0.1</f>
        <v>6152.3711999999996</v>
      </c>
      <c r="D105" s="65">
        <f t="shared" ref="D105:L105" si="48">D106+D107</f>
        <v>1199.5</v>
      </c>
      <c r="E105" s="65">
        <f>E106+E107</f>
        <v>15842.027331999998</v>
      </c>
      <c r="F105" s="65">
        <f t="shared" si="48"/>
        <v>71.7</v>
      </c>
      <c r="G105" s="65">
        <f>G106+G107</f>
        <v>758.00721599999997</v>
      </c>
      <c r="H105" s="65">
        <f t="shared" si="48"/>
        <v>3777.2</v>
      </c>
      <c r="I105" s="65">
        <f>I106+I107</f>
        <v>342.78400799999997</v>
      </c>
      <c r="J105" s="65">
        <f t="shared" si="48"/>
        <v>3777.2</v>
      </c>
      <c r="K105" s="65">
        <f>K106+K107</f>
        <v>650.96417199999996</v>
      </c>
      <c r="L105" s="65">
        <f t="shared" si="48"/>
        <v>205.8</v>
      </c>
      <c r="M105" s="65">
        <f>M106+M107</f>
        <v>112.46614</v>
      </c>
      <c r="N105" s="65">
        <f>SUM(C105,E105,G105,I105,K105)+M105+0.1</f>
        <v>23858.720067999995</v>
      </c>
      <c r="O105" s="53"/>
      <c r="P105" s="53"/>
    </row>
    <row r="106" spans="1:16" ht="23.25" customHeight="1" thickBot="1" x14ac:dyDescent="0.35">
      <c r="A106" s="67" t="s">
        <v>21</v>
      </c>
      <c r="B106" s="66">
        <f>B110+B120+B123</f>
        <v>251</v>
      </c>
      <c r="C106" s="66">
        <f>C110+C120+C123</f>
        <v>2771.04</v>
      </c>
      <c r="D106" s="66">
        <f t="shared" ref="D106:L106" si="49">D110+D120+D123</f>
        <v>772</v>
      </c>
      <c r="E106" s="66">
        <f>E110+E120+E123</f>
        <v>10111.508171999998</v>
      </c>
      <c r="F106" s="66">
        <f t="shared" si="49"/>
        <v>37.700000000000003</v>
      </c>
      <c r="G106" s="66">
        <f>G110+G120+G123</f>
        <v>393.60609600000004</v>
      </c>
      <c r="H106" s="66">
        <f t="shared" si="49"/>
        <v>1779.4</v>
      </c>
      <c r="I106" s="66">
        <f>I110+I120+I123</f>
        <v>158.22424799999996</v>
      </c>
      <c r="J106" s="66">
        <f t="shared" si="49"/>
        <v>1779.4</v>
      </c>
      <c r="K106" s="66">
        <f>K110+K120+K123</f>
        <v>299.96093999999999</v>
      </c>
      <c r="L106" s="66">
        <f t="shared" si="49"/>
        <v>102.9</v>
      </c>
      <c r="M106" s="66">
        <f>M110+M120+M123+0.1</f>
        <v>55.30585</v>
      </c>
      <c r="N106" s="65">
        <f>SUM(C106,E106,G106,I106,K106)+M106</f>
        <v>13789.645306</v>
      </c>
      <c r="O106" s="53"/>
      <c r="P106" s="53"/>
    </row>
    <row r="107" spans="1:16" ht="22.5" customHeight="1" thickBot="1" x14ac:dyDescent="0.35">
      <c r="A107" s="67" t="s">
        <v>40</v>
      </c>
      <c r="B107" s="66">
        <f>B111+B121+B124</f>
        <v>294.5</v>
      </c>
      <c r="C107" s="66">
        <f>C111+C121+C124+0.1</f>
        <v>3381.4311999999995</v>
      </c>
      <c r="D107" s="66">
        <f t="shared" ref="D107:L107" si="50">D111+D121+D124</f>
        <v>427.50000000000006</v>
      </c>
      <c r="E107" s="66">
        <f>E111+E121+E124</f>
        <v>5730.5191599999998</v>
      </c>
      <c r="F107" s="66">
        <f t="shared" si="50"/>
        <v>34</v>
      </c>
      <c r="G107" s="66">
        <f>G111+G121+G124</f>
        <v>364.40111999999993</v>
      </c>
      <c r="H107" s="66">
        <f t="shared" si="50"/>
        <v>1997.8</v>
      </c>
      <c r="I107" s="66">
        <f>I111+I121+I124-0.1</f>
        <v>184.55976000000001</v>
      </c>
      <c r="J107" s="66">
        <f t="shared" si="50"/>
        <v>1997.8</v>
      </c>
      <c r="K107" s="66">
        <f>K111+K121+K124</f>
        <v>351.00323200000003</v>
      </c>
      <c r="L107" s="66">
        <f t="shared" si="50"/>
        <v>102.9</v>
      </c>
      <c r="M107" s="66">
        <f>M111+M121+M124</f>
        <v>57.160290000000003</v>
      </c>
      <c r="N107" s="65">
        <f>SUM(C107,E107,G107,I107,K107)+M107</f>
        <v>10069.074762</v>
      </c>
      <c r="O107" s="52"/>
      <c r="P107" s="53"/>
    </row>
    <row r="108" spans="1:16" ht="20.25" customHeight="1" thickBot="1" x14ac:dyDescent="0.35">
      <c r="A108" s="78" t="s">
        <v>12</v>
      </c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80"/>
      <c r="O108" s="53"/>
      <c r="P108" s="53"/>
    </row>
    <row r="109" spans="1:16" ht="85.5" customHeight="1" thickBot="1" x14ac:dyDescent="0.35">
      <c r="A109" s="67" t="s">
        <v>72</v>
      </c>
      <c r="B109" s="65">
        <f>B110+B111</f>
        <v>46.599999999999994</v>
      </c>
      <c r="C109" s="65">
        <f>C110+C111</f>
        <v>523.95839999999987</v>
      </c>
      <c r="D109" s="65">
        <f t="shared" ref="D109:M109" si="51">D110+D111</f>
        <v>448</v>
      </c>
      <c r="E109" s="65">
        <f>E110+E111</f>
        <v>7921.1903319999992</v>
      </c>
      <c r="F109" s="65">
        <f t="shared" si="51"/>
        <v>0</v>
      </c>
      <c r="G109" s="65">
        <f>G110+G111</f>
        <v>0</v>
      </c>
      <c r="H109" s="65">
        <f t="shared" si="51"/>
        <v>321.20000000000005</v>
      </c>
      <c r="I109" s="65">
        <f t="shared" si="51"/>
        <v>29.135007999999999</v>
      </c>
      <c r="J109" s="65">
        <f t="shared" si="51"/>
        <v>321.20000000000005</v>
      </c>
      <c r="K109" s="65">
        <f>K110+K111</f>
        <v>55.177492000000001</v>
      </c>
      <c r="L109" s="65">
        <f t="shared" si="51"/>
        <v>57</v>
      </c>
      <c r="M109" s="65">
        <f t="shared" si="51"/>
        <v>31.595100000000002</v>
      </c>
      <c r="N109" s="65">
        <f>SUM(C109,E109,G109,I109,K109)+M109</f>
        <v>8561.0563320000001</v>
      </c>
      <c r="O109" s="53"/>
      <c r="P109" s="53"/>
    </row>
    <row r="110" spans="1:16" ht="20.100000000000001" customHeight="1" thickBot="1" x14ac:dyDescent="0.35">
      <c r="A110" s="67" t="s">
        <v>21</v>
      </c>
      <c r="B110" s="66">
        <f t="shared" ref="B110:D111" si="52">B114+B117</f>
        <v>25.099999999999998</v>
      </c>
      <c r="C110" s="66">
        <f>C114+C117</f>
        <v>277.10399999999993</v>
      </c>
      <c r="D110" s="66">
        <f t="shared" si="52"/>
        <v>290.39999999999998</v>
      </c>
      <c r="E110" s="66">
        <f>E114+E117</f>
        <v>5083.3730039999991</v>
      </c>
      <c r="F110" s="66">
        <f t="shared" ref="F110" si="53">F114+F117</f>
        <v>0</v>
      </c>
      <c r="G110" s="66">
        <f t="shared" ref="G110:L110" si="54">G114+G117</f>
        <v>0</v>
      </c>
      <c r="H110" s="66">
        <f t="shared" si="54"/>
        <v>174.4</v>
      </c>
      <c r="I110" s="66">
        <f>I114+I117</f>
        <v>15.507648</v>
      </c>
      <c r="J110" s="66">
        <f t="shared" si="54"/>
        <v>174.4</v>
      </c>
      <c r="K110" s="66">
        <f>K114+K117</f>
        <v>29.357939999999999</v>
      </c>
      <c r="L110" s="66">
        <f t="shared" si="54"/>
        <v>28.5</v>
      </c>
      <c r="M110" s="66">
        <f>M114+M117</f>
        <v>15.290250000000002</v>
      </c>
      <c r="N110" s="65">
        <f>SUM(C110,E110,G110,I110,K110)+M110+0.1</f>
        <v>5420.7328419999994</v>
      </c>
      <c r="O110" s="53"/>
      <c r="P110" s="53"/>
    </row>
    <row r="111" spans="1:16" ht="20.100000000000001" customHeight="1" thickBot="1" x14ac:dyDescent="0.35">
      <c r="A111" s="67" t="s">
        <v>40</v>
      </c>
      <c r="B111" s="66">
        <f t="shared" si="52"/>
        <v>21.5</v>
      </c>
      <c r="C111" s="66">
        <f>C115+C118</f>
        <v>246.85439999999994</v>
      </c>
      <c r="D111" s="66">
        <f t="shared" si="52"/>
        <v>157.60000000000002</v>
      </c>
      <c r="E111" s="66">
        <f>E115+E118+0.1</f>
        <v>2837.8173280000001</v>
      </c>
      <c r="F111" s="66">
        <f t="shared" ref="F111" si="55">F115+F118</f>
        <v>0</v>
      </c>
      <c r="G111" s="66">
        <f>G115+G118</f>
        <v>0</v>
      </c>
      <c r="H111" s="66">
        <f>H115+H118</f>
        <v>146.80000000000001</v>
      </c>
      <c r="I111" s="66">
        <f>I115+I118</f>
        <v>13.627359999999998</v>
      </c>
      <c r="J111" s="66">
        <f>J115+J118</f>
        <v>146.80000000000001</v>
      </c>
      <c r="K111" s="66">
        <f>K115+K118</f>
        <v>25.819552000000005</v>
      </c>
      <c r="L111" s="66">
        <f t="shared" ref="L111" si="56">L115+L118</f>
        <v>28.5</v>
      </c>
      <c r="M111" s="66">
        <f>M115+M118</f>
        <v>16.304850000000002</v>
      </c>
      <c r="N111" s="65">
        <f>SUM(C111,E111,G111,I111,K111)+M111</f>
        <v>3140.4234900000001</v>
      </c>
      <c r="O111" s="53"/>
      <c r="P111" s="53"/>
    </row>
    <row r="112" spans="1:16" ht="18" customHeight="1" thickBot="1" x14ac:dyDescent="0.35">
      <c r="A112" s="78" t="s">
        <v>12</v>
      </c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2"/>
      <c r="O112" s="53"/>
      <c r="P112" s="53"/>
    </row>
    <row r="113" spans="1:16" ht="81" customHeight="1" thickBot="1" x14ac:dyDescent="0.35">
      <c r="A113" s="70" t="s">
        <v>99</v>
      </c>
      <c r="B113" s="71">
        <f>B114+B115</f>
        <v>39.099999999999994</v>
      </c>
      <c r="C113" s="71">
        <f>C114+C115</f>
        <v>439.70111999999995</v>
      </c>
      <c r="D113" s="71">
        <f t="shared" ref="D113:L113" si="57">D114+D115</f>
        <v>162.19999999999999</v>
      </c>
      <c r="E113" s="71">
        <f>E114+E115+0.1</f>
        <v>1708.7086959999997</v>
      </c>
      <c r="F113" s="71">
        <f t="shared" si="57"/>
        <v>0</v>
      </c>
      <c r="G113" s="71">
        <f t="shared" si="57"/>
        <v>0</v>
      </c>
      <c r="H113" s="71">
        <f t="shared" si="57"/>
        <v>319.3</v>
      </c>
      <c r="I113" s="71">
        <f>I114+I115</f>
        <v>28.901627999999995</v>
      </c>
      <c r="J113" s="71">
        <f t="shared" si="57"/>
        <v>319.3</v>
      </c>
      <c r="K113" s="71">
        <f t="shared" si="57"/>
        <v>54.870491999999999</v>
      </c>
      <c r="L113" s="71">
        <f t="shared" si="57"/>
        <v>44.2</v>
      </c>
      <c r="M113" s="71">
        <f>M114+M115</f>
        <v>24.500060000000005</v>
      </c>
      <c r="N113" s="71">
        <f>N114+N115</f>
        <v>2256.6819959999998</v>
      </c>
      <c r="O113" s="53"/>
      <c r="P113" s="53"/>
    </row>
    <row r="114" spans="1:16" ht="27" customHeight="1" thickBot="1" x14ac:dyDescent="0.35">
      <c r="A114" s="70" t="s">
        <v>21</v>
      </c>
      <c r="B114" s="72">
        <v>20.9</v>
      </c>
      <c r="C114" s="72">
        <f>B114*ТАРИФЫ!F21</f>
        <v>230.73599999999996</v>
      </c>
      <c r="D114" s="71">
        <v>107.5</v>
      </c>
      <c r="E114" s="72">
        <f>D114*ТАРИФЫ!F5/1000</f>
        <v>1122.3516</v>
      </c>
      <c r="F114" s="71">
        <v>0</v>
      </c>
      <c r="G114" s="71">
        <f>F114*ТАРИФЫ!F5/1000</f>
        <v>0</v>
      </c>
      <c r="H114" s="71">
        <v>172.9</v>
      </c>
      <c r="I114" s="71">
        <f>H114*ТАРИФЫ!F10/1000</f>
        <v>15.374267999999999</v>
      </c>
      <c r="J114" s="71">
        <f>H114</f>
        <v>172.9</v>
      </c>
      <c r="K114" s="71">
        <f>J114*ТАРИФЫ!F15/1000</f>
        <v>29.150939999999999</v>
      </c>
      <c r="L114" s="71">
        <v>22.1</v>
      </c>
      <c r="M114" s="71">
        <f>L114*ТАРИФЫ!D26/1000</f>
        <v>11.856650000000002</v>
      </c>
      <c r="N114" s="71">
        <f>SUM(C114,E114,G114,I114,K114)+M114+0.1</f>
        <v>1409.5694579999997</v>
      </c>
      <c r="O114" s="53"/>
      <c r="P114" s="53"/>
    </row>
    <row r="115" spans="1:16" ht="20.100000000000001" customHeight="1" thickBot="1" x14ac:dyDescent="0.35">
      <c r="A115" s="70" t="s">
        <v>40</v>
      </c>
      <c r="B115" s="72">
        <v>18.2</v>
      </c>
      <c r="C115" s="72">
        <f>B115*ТАРИФЫ!G21</f>
        <v>208.96511999999996</v>
      </c>
      <c r="D115" s="71">
        <v>54.7</v>
      </c>
      <c r="E115" s="71">
        <f>D115*ТАРИФЫ!G5/1000</f>
        <v>586.25709599999993</v>
      </c>
      <c r="F115" s="71">
        <v>0</v>
      </c>
      <c r="G115" s="71">
        <f>F115*ТАРИФЫ!G5/1000</f>
        <v>0</v>
      </c>
      <c r="H115" s="71">
        <v>146.4</v>
      </c>
      <c r="I115" s="71">
        <f>H115*ТАРИФЫ!G10/1000</f>
        <v>13.527359999999998</v>
      </c>
      <c r="J115" s="71">
        <f>H115</f>
        <v>146.4</v>
      </c>
      <c r="K115" s="71">
        <f>J115*ТАРИФЫ!G15/1000</f>
        <v>25.719552000000004</v>
      </c>
      <c r="L115" s="71">
        <v>22.1</v>
      </c>
      <c r="M115" s="71">
        <f>L115*ТАРИФЫ!E26/1000</f>
        <v>12.643410000000001</v>
      </c>
      <c r="N115" s="71">
        <f>SUM(C115,E115,G115,I115,K115)+M115</f>
        <v>847.11253799999997</v>
      </c>
      <c r="O115" s="53"/>
      <c r="P115" s="53"/>
    </row>
    <row r="116" spans="1:16" ht="79.5" customHeight="1" thickBot="1" x14ac:dyDescent="0.35">
      <c r="A116" s="73" t="s">
        <v>100</v>
      </c>
      <c r="B116" s="65">
        <f>B117+B118</f>
        <v>7.5</v>
      </c>
      <c r="C116" s="65">
        <f>C117+C118</f>
        <v>84.25727999999998</v>
      </c>
      <c r="D116" s="65">
        <f t="shared" ref="D116:L116" si="58">D117+D118</f>
        <v>285.8</v>
      </c>
      <c r="E116" s="65">
        <f>E117+E118</f>
        <v>6212.4816360000004</v>
      </c>
      <c r="F116" s="65">
        <f t="shared" si="58"/>
        <v>0</v>
      </c>
      <c r="G116" s="65">
        <f t="shared" si="58"/>
        <v>0</v>
      </c>
      <c r="H116" s="65">
        <f t="shared" si="58"/>
        <v>1.9</v>
      </c>
      <c r="I116" s="65">
        <f t="shared" si="58"/>
        <v>0.23338</v>
      </c>
      <c r="J116" s="65">
        <f t="shared" si="58"/>
        <v>1.9</v>
      </c>
      <c r="K116" s="65">
        <f t="shared" si="58"/>
        <v>0.307</v>
      </c>
      <c r="L116" s="65">
        <f t="shared" si="58"/>
        <v>12.8</v>
      </c>
      <c r="M116" s="65">
        <f>M117+M118</f>
        <v>7.0950400000000009</v>
      </c>
      <c r="N116" s="65">
        <f>SUM(C116,E116,G116,I116,K116)+M116</f>
        <v>6304.3743359999999</v>
      </c>
      <c r="O116" s="53"/>
      <c r="P116" s="53"/>
    </row>
    <row r="117" spans="1:16" ht="20.100000000000001" customHeight="1" thickBot="1" x14ac:dyDescent="0.35">
      <c r="A117" s="67" t="s">
        <v>21</v>
      </c>
      <c r="B117" s="69">
        <v>4.2</v>
      </c>
      <c r="C117" s="66">
        <f>B117*ТАРИФЫ!F21</f>
        <v>46.367999999999995</v>
      </c>
      <c r="D117" s="65">
        <v>182.9</v>
      </c>
      <c r="E117" s="66">
        <f>D117*ТАРИФЫ!F7/1000</f>
        <v>3961.0214039999996</v>
      </c>
      <c r="F117" s="65">
        <v>0</v>
      </c>
      <c r="G117" s="66">
        <v>0</v>
      </c>
      <c r="H117" s="65">
        <v>1.5</v>
      </c>
      <c r="I117" s="66">
        <f>H117*ТАРИФЫ!F12/1000</f>
        <v>0.13338</v>
      </c>
      <c r="J117" s="65">
        <f>H117</f>
        <v>1.5</v>
      </c>
      <c r="K117" s="66">
        <f>J117*ТАРИФЫ!F17/1000</f>
        <v>0.20699999999999999</v>
      </c>
      <c r="L117" s="65">
        <v>6.4</v>
      </c>
      <c r="M117" s="65">
        <f>L117*ТАРИФЫ!D26/1000</f>
        <v>3.4336000000000002</v>
      </c>
      <c r="N117" s="65">
        <f>SUM(C117,E117,G117,I117,K117)+M117-0.1</f>
        <v>4011.0633839999996</v>
      </c>
      <c r="O117" s="53"/>
      <c r="P117" s="53"/>
    </row>
    <row r="118" spans="1:16" ht="20.100000000000001" customHeight="1" thickBot="1" x14ac:dyDescent="0.35">
      <c r="A118" s="67" t="s">
        <v>40</v>
      </c>
      <c r="B118" s="66">
        <v>3.3</v>
      </c>
      <c r="C118" s="66">
        <f>B118*ТАРИФЫ!G21</f>
        <v>37.889279999999992</v>
      </c>
      <c r="D118" s="65">
        <v>102.9</v>
      </c>
      <c r="E118" s="66">
        <f>D118*ТАРИФЫ!G7/1000</f>
        <v>2251.4602320000004</v>
      </c>
      <c r="F118" s="65">
        <v>0</v>
      </c>
      <c r="G118" s="66">
        <v>0</v>
      </c>
      <c r="H118" s="65">
        <v>0.4</v>
      </c>
      <c r="I118" s="66">
        <v>0.1</v>
      </c>
      <c r="J118" s="65">
        <f>H118</f>
        <v>0.4</v>
      </c>
      <c r="K118" s="66">
        <v>0.1</v>
      </c>
      <c r="L118" s="65">
        <v>6.4</v>
      </c>
      <c r="M118" s="65">
        <f>L118*ТАРИФЫ!E26/1000</f>
        <v>3.6614400000000007</v>
      </c>
      <c r="N118" s="65">
        <f>SUM(C118,E118,G118,I118,K118)+M118+0.1</f>
        <v>2293.3109519999998</v>
      </c>
      <c r="O118" s="52"/>
      <c r="P118" s="53"/>
    </row>
    <row r="119" spans="1:16" ht="84.75" customHeight="1" thickBot="1" x14ac:dyDescent="0.35">
      <c r="A119" s="73" t="s">
        <v>73</v>
      </c>
      <c r="B119" s="65">
        <f>B120+B121</f>
        <v>364</v>
      </c>
      <c r="C119" s="65">
        <f>C120+C121</f>
        <v>4111.8700799999997</v>
      </c>
      <c r="D119" s="65">
        <f t="shared" ref="D119:H119" si="59">D120+D121</f>
        <v>260.7</v>
      </c>
      <c r="E119" s="65">
        <f>E120+E121</f>
        <v>2749.8580559999996</v>
      </c>
      <c r="F119" s="65">
        <f t="shared" si="59"/>
        <v>66.7</v>
      </c>
      <c r="G119" s="65">
        <f>G120+G121-0.1</f>
        <v>704.87321599999996</v>
      </c>
      <c r="H119" s="65">
        <f t="shared" si="59"/>
        <v>2984</v>
      </c>
      <c r="I119" s="65">
        <f>I120+I121</f>
        <v>270.83567999999997</v>
      </c>
      <c r="J119" s="65">
        <f>J120+J121</f>
        <v>2984</v>
      </c>
      <c r="K119" s="65">
        <f>K120+K121</f>
        <v>514.28880000000004</v>
      </c>
      <c r="L119" s="65">
        <f>L120+L121</f>
        <v>52.8</v>
      </c>
      <c r="M119" s="65">
        <f>M120+M121</f>
        <v>29.267040000000001</v>
      </c>
      <c r="N119" s="65">
        <f>SUM(C119,E119,G119,I119,K119)+M119+0.1</f>
        <v>8381.0928720000011</v>
      </c>
      <c r="O119" s="53"/>
      <c r="P119" s="53"/>
    </row>
    <row r="120" spans="1:16" ht="20.100000000000001" customHeight="1" thickBot="1" x14ac:dyDescent="0.35">
      <c r="A120" s="67" t="s">
        <v>21</v>
      </c>
      <c r="B120" s="66">
        <v>152.69999999999999</v>
      </c>
      <c r="C120" s="66">
        <f>B120*ТАРИФЫ!F21</f>
        <v>1685.8079999999998</v>
      </c>
      <c r="D120" s="65">
        <v>159.6</v>
      </c>
      <c r="E120" s="66">
        <f>D120*ТАРИФЫ!F5/1000</f>
        <v>1666.3006079999998</v>
      </c>
      <c r="F120" s="65">
        <v>35.700000000000003</v>
      </c>
      <c r="G120" s="66">
        <f>F120*ТАРИФЫ!F5/1000</f>
        <v>372.72513600000002</v>
      </c>
      <c r="H120" s="65">
        <v>1404</v>
      </c>
      <c r="I120" s="65">
        <f>H120*ТАРИФЫ!F10/1000</f>
        <v>124.84367999999998</v>
      </c>
      <c r="J120" s="65">
        <f>H120</f>
        <v>1404</v>
      </c>
      <c r="K120" s="65">
        <f>J120*ТАРИФЫ!F15/1000</f>
        <v>236.71439999999998</v>
      </c>
      <c r="L120" s="65">
        <v>26.4</v>
      </c>
      <c r="M120" s="65">
        <f>L120*ТАРИФЫ!D26/1000</f>
        <v>14.163599999999999</v>
      </c>
      <c r="N120" s="65">
        <f>SUM(C120,E120,G120,I120,K120)+M120-0.1</f>
        <v>4100.4554239999989</v>
      </c>
      <c r="O120" s="53"/>
      <c r="P120" s="53"/>
    </row>
    <row r="121" spans="1:16" ht="20.100000000000001" customHeight="1" thickBot="1" x14ac:dyDescent="0.35">
      <c r="A121" s="67" t="s">
        <v>40</v>
      </c>
      <c r="B121" s="66">
        <v>211.3</v>
      </c>
      <c r="C121" s="66">
        <f>B121*ТАРИФЫ!G21</f>
        <v>2426.0620799999997</v>
      </c>
      <c r="D121" s="65">
        <v>101.1</v>
      </c>
      <c r="E121" s="65">
        <f>D121*ТАРИФЫ!G5/1000</f>
        <v>1083.5574479999998</v>
      </c>
      <c r="F121" s="65">
        <v>31</v>
      </c>
      <c r="G121" s="65">
        <f>F121*ТАРИФЫ!G5/1000</f>
        <v>332.24807999999996</v>
      </c>
      <c r="H121" s="65">
        <v>1580</v>
      </c>
      <c r="I121" s="65">
        <f>H121*ТАРИФЫ!G10/1000</f>
        <v>145.99199999999999</v>
      </c>
      <c r="J121" s="65">
        <f>H121</f>
        <v>1580</v>
      </c>
      <c r="K121" s="65">
        <f>J121*ТАРИФЫ!G15/1000</f>
        <v>277.57440000000003</v>
      </c>
      <c r="L121" s="65">
        <v>26.4</v>
      </c>
      <c r="M121" s="65">
        <f>L121*ТАРИФЫ!E26/1000</f>
        <v>15.103440000000001</v>
      </c>
      <c r="N121" s="65">
        <f>SUM(C121,E121,G121,I121,K121)+M121+0.1</f>
        <v>4280.6374479999995</v>
      </c>
      <c r="O121" s="52"/>
      <c r="P121" s="53"/>
    </row>
    <row r="122" spans="1:16" ht="77.25" customHeight="1" thickBot="1" x14ac:dyDescent="0.35">
      <c r="A122" s="73" t="s">
        <v>74</v>
      </c>
      <c r="B122" s="65">
        <f>B123+B124</f>
        <v>134.9</v>
      </c>
      <c r="C122" s="65">
        <f>C123+C124</f>
        <v>1516.5427199999999</v>
      </c>
      <c r="D122" s="65">
        <f t="shared" ref="D122:L122" si="60">D123+D124</f>
        <v>490.8</v>
      </c>
      <c r="E122" s="65">
        <f>E123+E124-0.1</f>
        <v>5170.878944</v>
      </c>
      <c r="F122" s="65">
        <f t="shared" si="60"/>
        <v>5</v>
      </c>
      <c r="G122" s="65">
        <f>G123+G124+0.1</f>
        <v>53.133999999999993</v>
      </c>
      <c r="H122" s="65">
        <f t="shared" si="60"/>
        <v>472</v>
      </c>
      <c r="I122" s="65">
        <f>I123+I124</f>
        <v>42.913319999999999</v>
      </c>
      <c r="J122" s="65">
        <f t="shared" si="60"/>
        <v>472</v>
      </c>
      <c r="K122" s="65">
        <f>K123+K124</f>
        <v>81.497879999999995</v>
      </c>
      <c r="L122" s="65">
        <f t="shared" si="60"/>
        <v>96</v>
      </c>
      <c r="M122" s="65">
        <f>M123+M124+0.1</f>
        <v>51.603999999999999</v>
      </c>
      <c r="N122" s="65">
        <f>SUM(C122,E122,G122,I122,K122)+M122-0.1</f>
        <v>6916.470863999999</v>
      </c>
      <c r="O122" s="53"/>
      <c r="P122" s="53"/>
    </row>
    <row r="123" spans="1:16" ht="20.100000000000001" customHeight="1" thickBot="1" x14ac:dyDescent="0.35">
      <c r="A123" s="67" t="s">
        <v>21</v>
      </c>
      <c r="B123" s="66">
        <v>73.2</v>
      </c>
      <c r="C123" s="66">
        <f>B123*ТАРИФЫ!F21</f>
        <v>808.12799999999993</v>
      </c>
      <c r="D123" s="65">
        <v>322</v>
      </c>
      <c r="E123" s="66">
        <f>D123*ТАРИФЫ!F5/1000</f>
        <v>3361.8345600000002</v>
      </c>
      <c r="F123" s="65">
        <v>2</v>
      </c>
      <c r="G123" s="65">
        <f>F123*ТАРИФЫ!F5/1000</f>
        <v>20.880959999999998</v>
      </c>
      <c r="H123" s="65">
        <v>201</v>
      </c>
      <c r="I123" s="65">
        <f>H123*ТАРИФЫ!F10/1000</f>
        <v>17.872919999999997</v>
      </c>
      <c r="J123" s="65">
        <f>H123</f>
        <v>201</v>
      </c>
      <c r="K123" s="65">
        <f>J123*ТАРИФЫ!F15/1000</f>
        <v>33.888599999999997</v>
      </c>
      <c r="L123" s="65">
        <v>48</v>
      </c>
      <c r="M123" s="65">
        <f>L123*ТАРИФЫ!D26/1000</f>
        <v>25.751999999999999</v>
      </c>
      <c r="N123" s="65">
        <f>SUM(C123,E123,G123,I123,K123)+M123</f>
        <v>4268.3570400000008</v>
      </c>
      <c r="O123" s="53"/>
      <c r="P123" s="53"/>
    </row>
    <row r="124" spans="1:16" ht="20.100000000000001" customHeight="1" thickBot="1" x14ac:dyDescent="0.35">
      <c r="A124" s="67" t="s">
        <v>40</v>
      </c>
      <c r="B124" s="66">
        <v>61.7</v>
      </c>
      <c r="C124" s="66">
        <f>B124*ТАРИФЫ!G21</f>
        <v>708.41471999999999</v>
      </c>
      <c r="D124" s="65">
        <v>168.8</v>
      </c>
      <c r="E124" s="65">
        <f>D124*ТАРИФЫ!G5/1000</f>
        <v>1809.1443839999999</v>
      </c>
      <c r="F124" s="65">
        <v>3</v>
      </c>
      <c r="G124" s="65">
        <f>F124*ТАРИФЫ!G5/1000</f>
        <v>32.15303999999999</v>
      </c>
      <c r="H124" s="65">
        <v>271</v>
      </c>
      <c r="I124" s="65">
        <f>H124*ТАРИФЫ!G10/1000</f>
        <v>25.040399999999998</v>
      </c>
      <c r="J124" s="65">
        <f>H124</f>
        <v>271</v>
      </c>
      <c r="K124" s="65">
        <f>J124*ТАРИФЫ!G15/1000</f>
        <v>47.609279999999998</v>
      </c>
      <c r="L124" s="65">
        <v>48</v>
      </c>
      <c r="M124" s="65">
        <f>L124*ТАРИФЫ!D27/1000</f>
        <v>25.751999999999999</v>
      </c>
      <c r="N124" s="65">
        <f>SUM(C124,E124,G124,I124,K124)+M124</f>
        <v>2648.113824</v>
      </c>
      <c r="O124" s="52"/>
      <c r="P124" s="53"/>
    </row>
    <row r="125" spans="1:16" ht="27.75" customHeight="1" thickBot="1" x14ac:dyDescent="0.35">
      <c r="A125" s="78" t="s">
        <v>14</v>
      </c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80"/>
      <c r="O125" s="53"/>
      <c r="P125" s="53"/>
    </row>
    <row r="126" spans="1:16" ht="86.25" customHeight="1" thickBot="1" x14ac:dyDescent="0.35">
      <c r="A126" s="67" t="s">
        <v>77</v>
      </c>
      <c r="B126" s="65">
        <f t="shared" ref="B126:L126" si="61">SUM(B127:B128)</f>
        <v>11</v>
      </c>
      <c r="C126" s="66">
        <f>SUM(C127:C128)</f>
        <v>124.13376</v>
      </c>
      <c r="D126" s="65">
        <f t="shared" si="61"/>
        <v>47.465999999999994</v>
      </c>
      <c r="E126" s="65">
        <f t="shared" si="61"/>
        <v>501.10129599999993</v>
      </c>
      <c r="F126" s="65">
        <f>SUM(F127:F128)-0.1</f>
        <v>0.55500000000000005</v>
      </c>
      <c r="G126" s="65">
        <f t="shared" si="61"/>
        <v>5.9</v>
      </c>
      <c r="H126" s="65">
        <f>SUM(H127:H128)-0.1</f>
        <v>27.073999999999998</v>
      </c>
      <c r="I126" s="65">
        <f t="shared" si="61"/>
        <v>2.5</v>
      </c>
      <c r="J126" s="65">
        <f t="shared" si="61"/>
        <v>27.231999999999999</v>
      </c>
      <c r="K126" s="65">
        <f t="shared" si="61"/>
        <v>4.5999999999999996</v>
      </c>
      <c r="L126" s="65">
        <f t="shared" si="61"/>
        <v>10.199999999999999</v>
      </c>
      <c r="M126" s="65">
        <f>SUM(M127:M128)-0.1</f>
        <v>5.5538600000000002</v>
      </c>
      <c r="N126" s="65">
        <f>SUM(C126,E126,G126,I126,K126)+M126</f>
        <v>643.78891599999997</v>
      </c>
      <c r="O126" s="53"/>
      <c r="P126" s="53"/>
    </row>
    <row r="127" spans="1:16" ht="21.75" customHeight="1" thickBot="1" x14ac:dyDescent="0.35">
      <c r="A127" s="67" t="s">
        <v>21</v>
      </c>
      <c r="B127" s="74">
        <v>4.9000000000000004</v>
      </c>
      <c r="C127" s="66">
        <f>B127*ТАРИФЫ!F21</f>
        <v>54.095999999999997</v>
      </c>
      <c r="D127" s="65">
        <v>27.7</v>
      </c>
      <c r="E127" s="65">
        <f>D127*ТАРИФЫ!F5/1000</f>
        <v>289.20129599999996</v>
      </c>
      <c r="F127" s="65">
        <v>0.34200000000000003</v>
      </c>
      <c r="G127" s="65">
        <v>2.9</v>
      </c>
      <c r="H127" s="65">
        <v>13.842000000000001</v>
      </c>
      <c r="I127" s="65">
        <f>ROUNDUP(H127*ТАРИФЫ!$F$10/1000,1)</f>
        <v>1.3</v>
      </c>
      <c r="J127" s="65">
        <v>13.9</v>
      </c>
      <c r="K127" s="65">
        <f>ROUND(J127*ТАРИФЫ!$F$15/1000,1)</f>
        <v>2.2999999999999998</v>
      </c>
      <c r="L127" s="65">
        <v>5.0999999999999996</v>
      </c>
      <c r="M127" s="65">
        <f>L127*ТАРИФЫ!D26/1000</f>
        <v>2.7361499999999994</v>
      </c>
      <c r="N127" s="65">
        <f>SUM(C127,E127,G127,I127,K127)+M127</f>
        <v>352.53344599999997</v>
      </c>
      <c r="O127" s="53"/>
      <c r="P127" s="53"/>
    </row>
    <row r="128" spans="1:16" ht="18.75" customHeight="1" thickBot="1" x14ac:dyDescent="0.35">
      <c r="A128" s="67" t="s">
        <v>40</v>
      </c>
      <c r="B128" s="74">
        <v>6.1</v>
      </c>
      <c r="C128" s="66">
        <f>B128*ТАРИФЫ!G21</f>
        <v>70.037759999999992</v>
      </c>
      <c r="D128" s="65">
        <v>19.765999999999998</v>
      </c>
      <c r="E128" s="65">
        <f>ROUNDUP(D128*ТАРИФЫ!$G$5/1000,1)</f>
        <v>211.9</v>
      </c>
      <c r="F128" s="65">
        <v>0.313</v>
      </c>
      <c r="G128" s="65">
        <v>3</v>
      </c>
      <c r="H128" s="65">
        <v>13.332000000000001</v>
      </c>
      <c r="I128" s="65">
        <f>ROUND(H128*ТАРИФЫ!$G$10/1000,1)</f>
        <v>1.2</v>
      </c>
      <c r="J128" s="65">
        <v>13.332000000000001</v>
      </c>
      <c r="K128" s="65">
        <f>ROUND(J128*ТАРИФЫ!$G$15/1000,1)</f>
        <v>2.2999999999999998</v>
      </c>
      <c r="L128" s="65">
        <v>5.0999999999999996</v>
      </c>
      <c r="M128" s="65">
        <f>L128*ТАРИФЫ!E26/1000</f>
        <v>2.91771</v>
      </c>
      <c r="N128" s="65">
        <f>SUM(C128,E128,G128,I128,K128)+M128-0.1</f>
        <v>291.25547</v>
      </c>
      <c r="O128" s="52"/>
      <c r="P128" s="53"/>
    </row>
    <row r="129" spans="1:16" ht="25.5" customHeight="1" thickBot="1" x14ac:dyDescent="0.35">
      <c r="A129" s="78" t="s">
        <v>15</v>
      </c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80"/>
      <c r="O129" s="53"/>
      <c r="P129" s="53"/>
    </row>
    <row r="130" spans="1:16" ht="86.25" customHeight="1" thickBot="1" x14ac:dyDescent="0.35">
      <c r="A130" s="67" t="s">
        <v>75</v>
      </c>
      <c r="B130" s="66">
        <f>B131+B132</f>
        <v>585.09999999999991</v>
      </c>
      <c r="C130" s="66">
        <f>C131+C132</f>
        <v>6585.9036799999985</v>
      </c>
      <c r="D130" s="66">
        <f t="shared" ref="D130:K130" si="62">D131+D132</f>
        <v>0</v>
      </c>
      <c r="E130" s="66">
        <v>0</v>
      </c>
      <c r="F130" s="66">
        <f t="shared" si="62"/>
        <v>0</v>
      </c>
      <c r="G130" s="66">
        <f t="shared" si="62"/>
        <v>0</v>
      </c>
      <c r="H130" s="66">
        <f t="shared" si="62"/>
        <v>0</v>
      </c>
      <c r="I130" s="66">
        <f t="shared" si="62"/>
        <v>0</v>
      </c>
      <c r="J130" s="66">
        <f t="shared" si="62"/>
        <v>0</v>
      </c>
      <c r="K130" s="66">
        <f t="shared" si="62"/>
        <v>0</v>
      </c>
      <c r="L130" s="66">
        <v>0</v>
      </c>
      <c r="M130" s="66">
        <v>0</v>
      </c>
      <c r="N130" s="75">
        <f>SUM(C130,E130,G130,I130,K130)+M130</f>
        <v>6585.9036799999985</v>
      </c>
      <c r="O130" s="53"/>
      <c r="P130" s="53"/>
    </row>
    <row r="131" spans="1:16" ht="23.25" customHeight="1" thickBot="1" x14ac:dyDescent="0.35">
      <c r="A131" s="67" t="s">
        <v>21</v>
      </c>
      <c r="B131" s="74">
        <f>B135+B144+B138+B141</f>
        <v>302.39999999999998</v>
      </c>
      <c r="C131" s="74">
        <f>C135+C144+C138+C141+0.1</f>
        <v>3339.2439999999992</v>
      </c>
      <c r="D131" s="74">
        <f t="shared" ref="D131:M131" si="63">D135+D144+D138+D141</f>
        <v>0</v>
      </c>
      <c r="E131" s="74">
        <f t="shared" si="63"/>
        <v>0</v>
      </c>
      <c r="F131" s="74">
        <f t="shared" si="63"/>
        <v>0</v>
      </c>
      <c r="G131" s="74">
        <f t="shared" si="63"/>
        <v>0</v>
      </c>
      <c r="H131" s="74">
        <f t="shared" si="63"/>
        <v>0</v>
      </c>
      <c r="I131" s="74">
        <f t="shared" si="63"/>
        <v>0</v>
      </c>
      <c r="J131" s="74">
        <f t="shared" si="63"/>
        <v>0</v>
      </c>
      <c r="K131" s="74">
        <f t="shared" si="63"/>
        <v>0</v>
      </c>
      <c r="L131" s="74">
        <f t="shared" si="63"/>
        <v>0</v>
      </c>
      <c r="M131" s="74">
        <f t="shared" si="63"/>
        <v>0</v>
      </c>
      <c r="N131" s="66">
        <f>N135+N144+N138+N141+0.1</f>
        <v>3339.2439999999992</v>
      </c>
      <c r="O131" s="53"/>
      <c r="P131" s="53"/>
    </row>
    <row r="132" spans="1:16" ht="17.25" customHeight="1" thickBot="1" x14ac:dyDescent="0.35">
      <c r="A132" s="67" t="s">
        <v>40</v>
      </c>
      <c r="B132" s="74">
        <f>B136+B145+B139+B142</f>
        <v>282.7</v>
      </c>
      <c r="C132" s="74">
        <f>C136+C145+C139+C142+0.1</f>
        <v>3246.6596799999993</v>
      </c>
      <c r="D132" s="74">
        <f t="shared" ref="D132:M132" si="64">D136+D145+D139+D142</f>
        <v>0</v>
      </c>
      <c r="E132" s="74">
        <f t="shared" si="64"/>
        <v>0</v>
      </c>
      <c r="F132" s="74">
        <f t="shared" si="64"/>
        <v>0</v>
      </c>
      <c r="G132" s="74">
        <f t="shared" si="64"/>
        <v>0</v>
      </c>
      <c r="H132" s="74">
        <f t="shared" si="64"/>
        <v>0</v>
      </c>
      <c r="I132" s="74">
        <f t="shared" si="64"/>
        <v>0</v>
      </c>
      <c r="J132" s="74">
        <f t="shared" si="64"/>
        <v>0</v>
      </c>
      <c r="K132" s="74">
        <f t="shared" si="64"/>
        <v>0</v>
      </c>
      <c r="L132" s="74">
        <f t="shared" si="64"/>
        <v>0</v>
      </c>
      <c r="M132" s="74">
        <f t="shared" si="64"/>
        <v>0</v>
      </c>
      <c r="N132" s="69">
        <f>N136+N145+N139+N142+0.1</f>
        <v>3246.6596799999993</v>
      </c>
      <c r="O132" s="53"/>
      <c r="P132" s="53"/>
    </row>
    <row r="133" spans="1:16" ht="18" customHeight="1" thickBot="1" x14ac:dyDescent="0.35">
      <c r="A133" s="78" t="s">
        <v>12</v>
      </c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90"/>
      <c r="O133" s="53"/>
      <c r="P133" s="53"/>
    </row>
    <row r="134" spans="1:16" s="55" customFormat="1" ht="30" customHeight="1" thickBot="1" x14ac:dyDescent="0.35">
      <c r="A134" s="54" t="s">
        <v>20</v>
      </c>
      <c r="B134" s="66">
        <f t="shared" ref="B134:K134" si="65">B135+B136</f>
        <v>392.79999999999995</v>
      </c>
      <c r="C134" s="66">
        <f>C135+C136</f>
        <v>4420.0185599999986</v>
      </c>
      <c r="D134" s="66">
        <f t="shared" si="65"/>
        <v>0</v>
      </c>
      <c r="E134" s="66">
        <f t="shared" si="65"/>
        <v>0</v>
      </c>
      <c r="F134" s="66">
        <f t="shared" si="65"/>
        <v>0</v>
      </c>
      <c r="G134" s="66">
        <f t="shared" si="65"/>
        <v>0</v>
      </c>
      <c r="H134" s="66">
        <f t="shared" si="65"/>
        <v>0</v>
      </c>
      <c r="I134" s="66">
        <f t="shared" si="65"/>
        <v>0</v>
      </c>
      <c r="J134" s="66">
        <f t="shared" si="65"/>
        <v>0</v>
      </c>
      <c r="K134" s="66">
        <f t="shared" si="65"/>
        <v>0</v>
      </c>
      <c r="L134" s="66">
        <v>0</v>
      </c>
      <c r="M134" s="66">
        <v>0</v>
      </c>
      <c r="N134" s="65">
        <f t="shared" ref="N134:N148" si="66">SUM(C134,E134,G134,I134,K134)+M134</f>
        <v>4420.0185599999986</v>
      </c>
      <c r="O134" s="53"/>
      <c r="P134" s="53"/>
    </row>
    <row r="135" spans="1:16" ht="20.100000000000001" customHeight="1" thickBot="1" x14ac:dyDescent="0.35">
      <c r="A135" s="67" t="s">
        <v>21</v>
      </c>
      <c r="B135" s="66">
        <v>203.7</v>
      </c>
      <c r="C135" s="66">
        <f>B135*ТАРИФЫ!F21</f>
        <v>2248.8479999999995</v>
      </c>
      <c r="D135" s="66">
        <v>0</v>
      </c>
      <c r="E135" s="66">
        <v>0</v>
      </c>
      <c r="F135" s="66">
        <v>0</v>
      </c>
      <c r="G135" s="65">
        <v>0</v>
      </c>
      <c r="H135" s="65">
        <v>0</v>
      </c>
      <c r="I135" s="65">
        <v>0</v>
      </c>
      <c r="J135" s="65">
        <v>0</v>
      </c>
      <c r="K135" s="65">
        <v>0</v>
      </c>
      <c r="L135" s="65">
        <v>0</v>
      </c>
      <c r="M135" s="65">
        <v>0</v>
      </c>
      <c r="N135" s="65">
        <f t="shared" si="66"/>
        <v>2248.8479999999995</v>
      </c>
      <c r="O135" s="53"/>
      <c r="P135" s="53"/>
    </row>
    <row r="136" spans="1:16" ht="20.100000000000001" customHeight="1" thickBot="1" x14ac:dyDescent="0.35">
      <c r="A136" s="67" t="s">
        <v>40</v>
      </c>
      <c r="B136" s="66">
        <v>189.1</v>
      </c>
      <c r="C136" s="66">
        <f>B136*ТАРИФЫ!G21</f>
        <v>2171.1705599999996</v>
      </c>
      <c r="D136" s="66">
        <v>0</v>
      </c>
      <c r="E136" s="66">
        <v>0</v>
      </c>
      <c r="F136" s="66">
        <v>0</v>
      </c>
      <c r="G136" s="65">
        <v>0</v>
      </c>
      <c r="H136" s="65">
        <v>0</v>
      </c>
      <c r="I136" s="65">
        <v>0</v>
      </c>
      <c r="J136" s="65">
        <v>0</v>
      </c>
      <c r="K136" s="65">
        <v>0</v>
      </c>
      <c r="L136" s="65">
        <v>0</v>
      </c>
      <c r="M136" s="65">
        <v>0</v>
      </c>
      <c r="N136" s="65">
        <f t="shared" si="66"/>
        <v>2171.1705599999996</v>
      </c>
      <c r="O136" s="53"/>
      <c r="P136" s="53"/>
    </row>
    <row r="137" spans="1:16" ht="20.100000000000001" customHeight="1" thickBot="1" x14ac:dyDescent="0.35">
      <c r="A137" s="67" t="s">
        <v>60</v>
      </c>
      <c r="B137" s="66">
        <f>B138+B139</f>
        <v>32.799999999999997</v>
      </c>
      <c r="C137" s="66">
        <f>C138+C139+0.1</f>
        <v>369.41007999999999</v>
      </c>
      <c r="D137" s="66">
        <f t="shared" ref="D137:M137" si="67">D138+D139</f>
        <v>0</v>
      </c>
      <c r="E137" s="66">
        <f t="shared" si="67"/>
        <v>0</v>
      </c>
      <c r="F137" s="66">
        <f t="shared" si="67"/>
        <v>0</v>
      </c>
      <c r="G137" s="66">
        <f t="shared" si="67"/>
        <v>0</v>
      </c>
      <c r="H137" s="66">
        <f t="shared" si="67"/>
        <v>0</v>
      </c>
      <c r="I137" s="66">
        <f t="shared" si="67"/>
        <v>0</v>
      </c>
      <c r="J137" s="66">
        <f t="shared" si="67"/>
        <v>0</v>
      </c>
      <c r="K137" s="66">
        <f t="shared" si="67"/>
        <v>0</v>
      </c>
      <c r="L137" s="66">
        <f t="shared" si="67"/>
        <v>0</v>
      </c>
      <c r="M137" s="66">
        <f t="shared" si="67"/>
        <v>0</v>
      </c>
      <c r="N137" s="65">
        <f t="shared" si="66"/>
        <v>369.41007999999999</v>
      </c>
      <c r="O137" s="53"/>
      <c r="P137" s="53"/>
    </row>
    <row r="138" spans="1:16" ht="20.100000000000001" customHeight="1" thickBot="1" x14ac:dyDescent="0.35">
      <c r="A138" s="67" t="s">
        <v>21</v>
      </c>
      <c r="B138" s="66">
        <v>16.5</v>
      </c>
      <c r="C138" s="66">
        <f>B138*ТАРИФЫ!F21</f>
        <v>182.16</v>
      </c>
      <c r="D138" s="66">
        <f t="shared" ref="D138:M139" si="68">D139+D140</f>
        <v>0</v>
      </c>
      <c r="E138" s="66">
        <f t="shared" si="68"/>
        <v>0</v>
      </c>
      <c r="F138" s="66">
        <f t="shared" si="68"/>
        <v>0</v>
      </c>
      <c r="G138" s="66">
        <f t="shared" si="68"/>
        <v>0</v>
      </c>
      <c r="H138" s="66">
        <f t="shared" si="68"/>
        <v>0</v>
      </c>
      <c r="I138" s="66">
        <f t="shared" si="68"/>
        <v>0</v>
      </c>
      <c r="J138" s="66">
        <f t="shared" si="68"/>
        <v>0</v>
      </c>
      <c r="K138" s="66">
        <f t="shared" si="68"/>
        <v>0</v>
      </c>
      <c r="L138" s="66">
        <f t="shared" si="68"/>
        <v>0</v>
      </c>
      <c r="M138" s="66">
        <f t="shared" si="68"/>
        <v>0</v>
      </c>
      <c r="N138" s="65">
        <f t="shared" si="66"/>
        <v>182.16</v>
      </c>
      <c r="O138" s="53"/>
      <c r="P138" s="53"/>
    </row>
    <row r="139" spans="1:16" ht="20.100000000000001" customHeight="1" thickBot="1" x14ac:dyDescent="0.35">
      <c r="A139" s="67" t="s">
        <v>40</v>
      </c>
      <c r="B139" s="66">
        <v>16.3</v>
      </c>
      <c r="C139" s="66">
        <f>B139*ТАРИФЫ!G21</f>
        <v>187.15007999999997</v>
      </c>
      <c r="D139" s="66">
        <f t="shared" si="68"/>
        <v>0</v>
      </c>
      <c r="E139" s="66">
        <f t="shared" si="68"/>
        <v>0</v>
      </c>
      <c r="F139" s="66">
        <f t="shared" si="68"/>
        <v>0</v>
      </c>
      <c r="G139" s="66">
        <f t="shared" si="68"/>
        <v>0</v>
      </c>
      <c r="H139" s="66">
        <f t="shared" si="68"/>
        <v>0</v>
      </c>
      <c r="I139" s="66">
        <f t="shared" si="68"/>
        <v>0</v>
      </c>
      <c r="J139" s="66">
        <f t="shared" si="68"/>
        <v>0</v>
      </c>
      <c r="K139" s="66">
        <f t="shared" si="68"/>
        <v>0</v>
      </c>
      <c r="L139" s="66">
        <f t="shared" si="68"/>
        <v>0</v>
      </c>
      <c r="M139" s="66">
        <f t="shared" si="68"/>
        <v>0</v>
      </c>
      <c r="N139" s="65">
        <f t="shared" si="66"/>
        <v>187.15007999999997</v>
      </c>
      <c r="O139" s="53"/>
      <c r="P139" s="53"/>
    </row>
    <row r="140" spans="1:16" ht="20.100000000000001" customHeight="1" thickBot="1" x14ac:dyDescent="0.35">
      <c r="A140" s="67" t="s">
        <v>16</v>
      </c>
      <c r="B140" s="66">
        <f>B141+B142</f>
        <v>148.39999999999998</v>
      </c>
      <c r="C140" s="66">
        <f t="shared" ref="C140:M142" si="69">C141+C142</f>
        <v>1669.9545599999997</v>
      </c>
      <c r="D140" s="66">
        <f t="shared" si="69"/>
        <v>0</v>
      </c>
      <c r="E140" s="66">
        <f t="shared" si="69"/>
        <v>0</v>
      </c>
      <c r="F140" s="66">
        <f t="shared" si="69"/>
        <v>0</v>
      </c>
      <c r="G140" s="66">
        <f t="shared" si="69"/>
        <v>0</v>
      </c>
      <c r="H140" s="66">
        <f t="shared" si="69"/>
        <v>0</v>
      </c>
      <c r="I140" s="66">
        <f t="shared" si="69"/>
        <v>0</v>
      </c>
      <c r="J140" s="66">
        <f t="shared" si="69"/>
        <v>0</v>
      </c>
      <c r="K140" s="66">
        <f t="shared" si="69"/>
        <v>0</v>
      </c>
      <c r="L140" s="66">
        <f t="shared" si="69"/>
        <v>0</v>
      </c>
      <c r="M140" s="66">
        <f t="shared" si="69"/>
        <v>0</v>
      </c>
      <c r="N140" s="65">
        <f t="shared" si="66"/>
        <v>1669.9545599999997</v>
      </c>
      <c r="O140" s="53"/>
      <c r="P140" s="53"/>
    </row>
    <row r="141" spans="1:16" ht="20.100000000000001" customHeight="1" thickBot="1" x14ac:dyDescent="0.35">
      <c r="A141" s="67" t="s">
        <v>21</v>
      </c>
      <c r="B141" s="66">
        <v>76.8</v>
      </c>
      <c r="C141" s="66">
        <f>B141*ТАРИФЫ!F21</f>
        <v>847.87199999999996</v>
      </c>
      <c r="D141" s="66">
        <f t="shared" si="69"/>
        <v>0</v>
      </c>
      <c r="E141" s="66">
        <f t="shared" si="69"/>
        <v>0</v>
      </c>
      <c r="F141" s="66">
        <f t="shared" si="69"/>
        <v>0</v>
      </c>
      <c r="G141" s="66">
        <f t="shared" si="69"/>
        <v>0</v>
      </c>
      <c r="H141" s="66">
        <f t="shared" si="69"/>
        <v>0</v>
      </c>
      <c r="I141" s="66">
        <f t="shared" si="69"/>
        <v>0</v>
      </c>
      <c r="J141" s="66">
        <f t="shared" si="69"/>
        <v>0</v>
      </c>
      <c r="K141" s="66">
        <f t="shared" si="69"/>
        <v>0</v>
      </c>
      <c r="L141" s="66">
        <f t="shared" si="69"/>
        <v>0</v>
      </c>
      <c r="M141" s="66">
        <f t="shared" si="69"/>
        <v>0</v>
      </c>
      <c r="N141" s="65">
        <f t="shared" si="66"/>
        <v>847.87199999999996</v>
      </c>
      <c r="O141" s="53"/>
      <c r="P141" s="53"/>
    </row>
    <row r="142" spans="1:16" ht="20.100000000000001" customHeight="1" thickBot="1" x14ac:dyDescent="0.35">
      <c r="A142" s="67" t="s">
        <v>40</v>
      </c>
      <c r="B142" s="66">
        <v>71.599999999999994</v>
      </c>
      <c r="C142" s="66">
        <f>B142*ТАРИФЫ!G21</f>
        <v>822.08255999999983</v>
      </c>
      <c r="D142" s="66">
        <f t="shared" si="69"/>
        <v>0</v>
      </c>
      <c r="E142" s="66">
        <f t="shared" si="69"/>
        <v>0</v>
      </c>
      <c r="F142" s="66">
        <f t="shared" si="69"/>
        <v>0</v>
      </c>
      <c r="G142" s="66">
        <f t="shared" si="69"/>
        <v>0</v>
      </c>
      <c r="H142" s="66">
        <f t="shared" si="69"/>
        <v>0</v>
      </c>
      <c r="I142" s="66">
        <f t="shared" si="69"/>
        <v>0</v>
      </c>
      <c r="J142" s="66">
        <f t="shared" si="69"/>
        <v>0</v>
      </c>
      <c r="K142" s="66">
        <f t="shared" si="69"/>
        <v>0</v>
      </c>
      <c r="L142" s="66">
        <f t="shared" si="69"/>
        <v>0</v>
      </c>
      <c r="M142" s="66">
        <f t="shared" si="69"/>
        <v>0</v>
      </c>
      <c r="N142" s="65">
        <f t="shared" si="66"/>
        <v>822.08255999999983</v>
      </c>
      <c r="O142" s="53"/>
      <c r="P142" s="53"/>
    </row>
    <row r="143" spans="1:16" ht="20.25" customHeight="1" thickBot="1" x14ac:dyDescent="0.35">
      <c r="A143" s="67" t="s">
        <v>18</v>
      </c>
      <c r="B143" s="66">
        <f>B144+B145</f>
        <v>11.100000000000001</v>
      </c>
      <c r="C143" s="66">
        <f>C144+C145+0.1</f>
        <v>126.52047999999999</v>
      </c>
      <c r="D143" s="65">
        <v>0</v>
      </c>
      <c r="E143" s="65">
        <v>0</v>
      </c>
      <c r="F143" s="65">
        <v>0</v>
      </c>
      <c r="G143" s="65">
        <v>0</v>
      </c>
      <c r="H143" s="65">
        <v>0</v>
      </c>
      <c r="I143" s="65">
        <v>0</v>
      </c>
      <c r="J143" s="65">
        <v>0</v>
      </c>
      <c r="K143" s="65">
        <v>0</v>
      </c>
      <c r="L143" s="65">
        <v>0</v>
      </c>
      <c r="M143" s="65">
        <v>0</v>
      </c>
      <c r="N143" s="65">
        <f t="shared" si="66"/>
        <v>126.52047999999999</v>
      </c>
      <c r="O143" s="52"/>
      <c r="P143" s="53"/>
    </row>
    <row r="144" spans="1:16" ht="20.25" customHeight="1" thickBot="1" x14ac:dyDescent="0.35">
      <c r="A144" s="67" t="s">
        <v>21</v>
      </c>
      <c r="B144" s="66">
        <v>5.4</v>
      </c>
      <c r="C144" s="66">
        <f>B144*ТАРИФЫ!F22</f>
        <v>60.264000000000003</v>
      </c>
      <c r="D144" s="66">
        <v>0</v>
      </c>
      <c r="E144" s="66">
        <v>0</v>
      </c>
      <c r="F144" s="66">
        <v>0</v>
      </c>
      <c r="G144" s="65">
        <v>0</v>
      </c>
      <c r="H144" s="65">
        <v>0</v>
      </c>
      <c r="I144" s="65">
        <v>0</v>
      </c>
      <c r="J144" s="65">
        <v>0</v>
      </c>
      <c r="K144" s="65">
        <v>0</v>
      </c>
      <c r="L144" s="65">
        <v>0</v>
      </c>
      <c r="M144" s="65">
        <v>0</v>
      </c>
      <c r="N144" s="65">
        <f>SUM(C144,E144,G144,I144,K144)+M144</f>
        <v>60.264000000000003</v>
      </c>
      <c r="O144" s="52"/>
      <c r="P144" s="53"/>
    </row>
    <row r="145" spans="1:16" ht="20.25" customHeight="1" thickBot="1" x14ac:dyDescent="0.35">
      <c r="A145" s="67" t="s">
        <v>40</v>
      </c>
      <c r="B145" s="66">
        <v>5.7</v>
      </c>
      <c r="C145" s="66">
        <f>B145*ТАРИФЫ!G22</f>
        <v>66.156480000000002</v>
      </c>
      <c r="D145" s="66">
        <v>0</v>
      </c>
      <c r="E145" s="66">
        <v>0</v>
      </c>
      <c r="F145" s="66">
        <v>0</v>
      </c>
      <c r="G145" s="65">
        <v>0</v>
      </c>
      <c r="H145" s="65">
        <v>0</v>
      </c>
      <c r="I145" s="65">
        <v>0</v>
      </c>
      <c r="J145" s="65">
        <v>0</v>
      </c>
      <c r="K145" s="65">
        <v>0</v>
      </c>
      <c r="L145" s="65">
        <v>0</v>
      </c>
      <c r="M145" s="65">
        <v>0</v>
      </c>
      <c r="N145" s="65">
        <f>SUM(C145,E145,G145,I145,K145)+M145</f>
        <v>66.156480000000002</v>
      </c>
      <c r="O145" s="53"/>
      <c r="P145" s="53"/>
    </row>
    <row r="146" spans="1:16" ht="96.75" customHeight="1" thickBot="1" x14ac:dyDescent="0.35">
      <c r="A146" s="67" t="s">
        <v>76</v>
      </c>
      <c r="B146" s="66">
        <f>SUM(B147:B148)</f>
        <v>0</v>
      </c>
      <c r="C146" s="66">
        <f>SUM(C147:C148)</f>
        <v>200</v>
      </c>
      <c r="D146" s="66">
        <v>0</v>
      </c>
      <c r="E146" s="66">
        <f>SUM(E147:E148)</f>
        <v>5100</v>
      </c>
      <c r="F146" s="66">
        <v>0</v>
      </c>
      <c r="G146" s="66">
        <v>0</v>
      </c>
      <c r="H146" s="66">
        <v>0</v>
      </c>
      <c r="I146" s="66">
        <v>0</v>
      </c>
      <c r="J146" s="66">
        <v>0</v>
      </c>
      <c r="K146" s="66">
        <f>K147+K148</f>
        <v>0</v>
      </c>
      <c r="L146" s="66">
        <v>0</v>
      </c>
      <c r="M146" s="66">
        <v>0</v>
      </c>
      <c r="N146" s="65">
        <f t="shared" si="66"/>
        <v>5300</v>
      </c>
      <c r="O146" s="52"/>
      <c r="P146" s="53"/>
    </row>
    <row r="147" spans="1:16" ht="30" customHeight="1" thickBot="1" x14ac:dyDescent="0.35">
      <c r="A147" s="67" t="s">
        <v>21</v>
      </c>
      <c r="B147" s="66">
        <v>0</v>
      </c>
      <c r="C147" s="66">
        <v>100</v>
      </c>
      <c r="D147" s="65">
        <v>0</v>
      </c>
      <c r="E147" s="65">
        <v>2100</v>
      </c>
      <c r="F147" s="65">
        <v>0</v>
      </c>
      <c r="G147" s="65">
        <v>0</v>
      </c>
      <c r="H147" s="65">
        <v>0</v>
      </c>
      <c r="I147" s="65">
        <v>0</v>
      </c>
      <c r="J147" s="65">
        <v>0</v>
      </c>
      <c r="K147" s="65">
        <v>0</v>
      </c>
      <c r="L147" s="65">
        <v>0</v>
      </c>
      <c r="M147" s="65">
        <v>0</v>
      </c>
      <c r="N147" s="65">
        <f t="shared" si="66"/>
        <v>2200</v>
      </c>
      <c r="O147" s="53"/>
      <c r="P147" s="53"/>
    </row>
    <row r="148" spans="1:16" ht="29.25" customHeight="1" thickBot="1" x14ac:dyDescent="0.35">
      <c r="A148" s="67" t="s">
        <v>40</v>
      </c>
      <c r="B148" s="66">
        <v>0</v>
      </c>
      <c r="C148" s="66">
        <v>100</v>
      </c>
      <c r="D148" s="65">
        <v>0</v>
      </c>
      <c r="E148" s="65">
        <v>3000</v>
      </c>
      <c r="F148" s="65">
        <v>0</v>
      </c>
      <c r="G148" s="65">
        <v>0</v>
      </c>
      <c r="H148" s="65">
        <v>0</v>
      </c>
      <c r="I148" s="65">
        <v>0</v>
      </c>
      <c r="J148" s="65">
        <v>0</v>
      </c>
      <c r="K148" s="65">
        <v>0</v>
      </c>
      <c r="L148" s="65">
        <v>0</v>
      </c>
      <c r="M148" s="65">
        <v>0</v>
      </c>
      <c r="N148" s="65">
        <f t="shared" si="66"/>
        <v>3100</v>
      </c>
      <c r="O148" s="52"/>
      <c r="P148" s="53"/>
    </row>
    <row r="149" spans="1:16" ht="27.75" customHeight="1" thickBot="1" x14ac:dyDescent="0.35">
      <c r="A149" s="77" t="s">
        <v>22</v>
      </c>
      <c r="B149" s="65">
        <f>B150+B151</f>
        <v>1985.8999999999999</v>
      </c>
      <c r="C149" s="65">
        <f>C150+C151</f>
        <v>22546.389919999998</v>
      </c>
      <c r="D149" s="65">
        <f>D150+D151</f>
        <v>8066.5660000000007</v>
      </c>
      <c r="E149" s="65">
        <f>E150+E151+0.1</f>
        <v>121345.33576399999</v>
      </c>
      <c r="F149" s="65">
        <f>F150+F151-0.1</f>
        <v>606.3549999999999</v>
      </c>
      <c r="G149" s="65">
        <f>G150+G151-0.1</f>
        <v>7632.5570959999986</v>
      </c>
      <c r="H149" s="65">
        <f>H150+H151-0.1</f>
        <v>23844.974000000002</v>
      </c>
      <c r="I149" s="65">
        <f>I150+I151</f>
        <v>2479.6921719999996</v>
      </c>
      <c r="J149" s="65">
        <f>J150+J151</f>
        <v>23845.131999999998</v>
      </c>
      <c r="K149" s="65">
        <f>K150+K151</f>
        <v>3948.2133120000003</v>
      </c>
      <c r="L149" s="65">
        <f>L150+L151</f>
        <v>1123.212</v>
      </c>
      <c r="M149" s="65">
        <f>M150+M151</f>
        <v>620.66066160000003</v>
      </c>
      <c r="N149" s="65">
        <f>SUM(C149,E149,G149,I149,K149)+M149+0.1</f>
        <v>158572.94892560001</v>
      </c>
      <c r="O149" s="53"/>
      <c r="P149" s="53"/>
    </row>
    <row r="150" spans="1:16" ht="19.5" thickBot="1" x14ac:dyDescent="0.35">
      <c r="A150" s="67" t="s">
        <v>21</v>
      </c>
      <c r="B150" s="66">
        <f t="shared" ref="B150:F151" si="70">B20+B76+B102+B106+B127+B131+B147+B17</f>
        <v>1018.3</v>
      </c>
      <c r="C150" s="66">
        <f>C20+C76+C102+C106+C127+C131+C147+C17-0.1</f>
        <v>11350.303999999998</v>
      </c>
      <c r="D150" s="66">
        <f>D20+D76+D102+D106+D127+D131+D147+D17</f>
        <v>5030.9000000000005</v>
      </c>
      <c r="E150" s="66">
        <f>E20+E76+E102+E106+E127+E131+E147+E17</f>
        <v>73036.971267999994</v>
      </c>
      <c r="F150" s="66">
        <f t="shared" si="70"/>
        <v>344.04199999999997</v>
      </c>
      <c r="G150" s="66">
        <f>G20+G76+G102+G106+G127+G131+G147+G17</f>
        <v>4208.009712</v>
      </c>
      <c r="H150" s="66">
        <f t="shared" ref="H150:L150" si="71">H20+H76+H102+H106+H127+H131+H147+H17</f>
        <v>12880.041999999999</v>
      </c>
      <c r="I150" s="66">
        <f>I20+I76+I102+I106+I127+I131+I147+I17</f>
        <v>1311.8554559999998</v>
      </c>
      <c r="J150" s="66">
        <f t="shared" si="71"/>
        <v>12880.099999999999</v>
      </c>
      <c r="K150" s="66">
        <f>K20+K76+K102+K106+K127+K131+K147+K17+0.1</f>
        <v>2104.0963400000001</v>
      </c>
      <c r="L150" s="66">
        <f t="shared" si="71"/>
        <v>561.61200000000008</v>
      </c>
      <c r="M150" s="66">
        <f>M20+M76+M102+M106+M127+M131+M147+M17-0.1</f>
        <v>301.17810159999999</v>
      </c>
      <c r="N150" s="66">
        <f>N20+N76+N102+N106+N127+N131+N147+N17-0.2</f>
        <v>92312.514877600028</v>
      </c>
      <c r="O150" s="53"/>
      <c r="P150" s="53"/>
    </row>
    <row r="151" spans="1:16" ht="19.5" thickBot="1" x14ac:dyDescent="0.35">
      <c r="A151" s="67" t="s">
        <v>40</v>
      </c>
      <c r="B151" s="66">
        <f t="shared" si="70"/>
        <v>967.59999999999991</v>
      </c>
      <c r="C151" s="66">
        <f>C21+C77+C103+C107+C128+C132+C148+C18</f>
        <v>11196.08592</v>
      </c>
      <c r="D151" s="66">
        <f t="shared" si="70"/>
        <v>3035.6660000000002</v>
      </c>
      <c r="E151" s="66">
        <f>E21+E77+E103+E107+E128+E132+E148+E18</f>
        <v>48308.264495999989</v>
      </c>
      <c r="F151" s="66">
        <f t="shared" si="70"/>
        <v>262.41300000000001</v>
      </c>
      <c r="G151" s="66">
        <f>G21+G77+G103+G107+G128+G132+G148+G18+0.1</f>
        <v>3424.6473839999994</v>
      </c>
      <c r="H151" s="66">
        <f t="shared" ref="H151:M151" si="72">H21+H77+H103+H107+H128+H132+H148+H18</f>
        <v>10965.031999999999</v>
      </c>
      <c r="I151" s="66">
        <f t="shared" si="72"/>
        <v>1167.8367159999998</v>
      </c>
      <c r="J151" s="66">
        <f t="shared" si="72"/>
        <v>10965.031999999999</v>
      </c>
      <c r="K151" s="66">
        <f t="shared" si="72"/>
        <v>1844.1169720000003</v>
      </c>
      <c r="L151" s="66">
        <f t="shared" si="72"/>
        <v>561.6</v>
      </c>
      <c r="M151" s="66">
        <f t="shared" si="72"/>
        <v>319.48256000000003</v>
      </c>
      <c r="N151" s="65">
        <f>SUM(C151,E151,G151,I151,K151)+M151</f>
        <v>66260.434047999981</v>
      </c>
      <c r="O151" s="52"/>
      <c r="P151" s="53"/>
    </row>
    <row r="152" spans="1:16" x14ac:dyDescent="0.3">
      <c r="A152" s="51"/>
      <c r="B152" s="56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3"/>
      <c r="P152" s="53"/>
    </row>
    <row r="153" spans="1:16" x14ac:dyDescent="0.3">
      <c r="A153" s="51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8"/>
      <c r="O153" s="53"/>
      <c r="P153" s="53"/>
    </row>
    <row r="154" spans="1:16" x14ac:dyDescent="0.3">
      <c r="A154" s="51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</row>
    <row r="155" spans="1:16" x14ac:dyDescent="0.3">
      <c r="A155" s="51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</row>
  </sheetData>
  <autoFilter ref="A14:N148"/>
  <mergeCells count="30">
    <mergeCell ref="H7:N7"/>
    <mergeCell ref="H10:N10"/>
    <mergeCell ref="C12:C13"/>
    <mergeCell ref="B11:C11"/>
    <mergeCell ref="H11:I11"/>
    <mergeCell ref="J12:J13"/>
    <mergeCell ref="F12:F13"/>
    <mergeCell ref="J11:K11"/>
    <mergeCell ref="D12:D13"/>
    <mergeCell ref="N11:N13"/>
    <mergeCell ref="H12:H13"/>
    <mergeCell ref="D11:E11"/>
    <mergeCell ref="F11:G11"/>
    <mergeCell ref="A8:N8"/>
    <mergeCell ref="A9:N9"/>
    <mergeCell ref="A50:N50"/>
    <mergeCell ref="A22:N22"/>
    <mergeCell ref="A11:A13"/>
    <mergeCell ref="A15:N15"/>
    <mergeCell ref="A133:N133"/>
    <mergeCell ref="A112:N112"/>
    <mergeCell ref="A125:N125"/>
    <mergeCell ref="A88:N88"/>
    <mergeCell ref="A78:N78"/>
    <mergeCell ref="A104:N104"/>
    <mergeCell ref="A108:N108"/>
    <mergeCell ref="A129:N129"/>
    <mergeCell ref="L11:M11"/>
    <mergeCell ref="L12:L13"/>
    <mergeCell ref="M12:M13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13" zoomScale="89" zoomScaleNormal="89" workbookViewId="0">
      <selection activeCell="E32" sqref="E32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110"/>
      <c r="B1" s="110"/>
      <c r="C1" s="110"/>
      <c r="D1" s="110"/>
      <c r="E1" s="110"/>
      <c r="F1" s="110"/>
      <c r="G1" s="110"/>
    </row>
    <row r="2" spans="1:24" ht="35.25" customHeight="1" thickBot="1" x14ac:dyDescent="0.3">
      <c r="A2" s="110" t="s">
        <v>79</v>
      </c>
      <c r="B2" s="110"/>
      <c r="C2" s="110"/>
      <c r="D2" s="110"/>
      <c r="E2" s="110"/>
      <c r="F2" s="110"/>
      <c r="G2" s="110"/>
      <c r="P2" t="s">
        <v>21</v>
      </c>
      <c r="R2" t="s">
        <v>40</v>
      </c>
    </row>
    <row r="3" spans="1:24" ht="29.25" customHeight="1" thickBot="1" x14ac:dyDescent="0.3">
      <c r="A3" s="5" t="s">
        <v>23</v>
      </c>
      <c r="B3" s="6" t="s">
        <v>24</v>
      </c>
      <c r="C3" s="6" t="s">
        <v>25</v>
      </c>
      <c r="D3" s="6" t="s">
        <v>29</v>
      </c>
      <c r="E3" s="6" t="s">
        <v>30</v>
      </c>
      <c r="F3" s="6" t="s">
        <v>31</v>
      </c>
      <c r="G3" s="6" t="s">
        <v>32</v>
      </c>
      <c r="L3" t="s">
        <v>43</v>
      </c>
      <c r="M3">
        <v>1254.0999999999999</v>
      </c>
      <c r="N3">
        <v>0.03</v>
      </c>
      <c r="P3">
        <f>M3*N3*F5</f>
        <v>392802.17903999996</v>
      </c>
      <c r="R3">
        <f>M3*N3*G5</f>
        <v>403231.2746399999</v>
      </c>
    </row>
    <row r="4" spans="1:24" ht="35.1" customHeight="1" x14ac:dyDescent="0.25">
      <c r="A4" s="100" t="s">
        <v>26</v>
      </c>
      <c r="B4" s="111" t="s">
        <v>27</v>
      </c>
      <c r="C4" s="10" t="s">
        <v>17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44</v>
      </c>
      <c r="M4">
        <v>610.1</v>
      </c>
      <c r="N4">
        <v>3.3000000000000002E-2</v>
      </c>
      <c r="P4">
        <f>M4*N4*D7</f>
        <v>363351.70509</v>
      </c>
      <c r="R4">
        <f>M4*N4*G7</f>
        <v>440518.21466400009</v>
      </c>
    </row>
    <row r="5" spans="1:24" ht="35.1" customHeight="1" x14ac:dyDescent="0.25">
      <c r="A5" s="101"/>
      <c r="B5" s="112"/>
      <c r="C5" s="37" t="s">
        <v>20</v>
      </c>
      <c r="D5" s="40">
        <v>8700.4</v>
      </c>
      <c r="E5" s="40">
        <v>8931.4</v>
      </c>
      <c r="F5" s="16">
        <f t="shared" si="0"/>
        <v>10440.48</v>
      </c>
      <c r="G5" s="16">
        <f t="shared" si="1"/>
        <v>10717.679999999998</v>
      </c>
      <c r="I5">
        <v>1.04</v>
      </c>
      <c r="J5" s="3">
        <f>D5*1.04</f>
        <v>9048.4159999999993</v>
      </c>
      <c r="L5" t="s">
        <v>45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101"/>
      <c r="B6" s="112"/>
      <c r="C6" s="37" t="s">
        <v>18</v>
      </c>
      <c r="D6" s="40">
        <v>19473.900000000001</v>
      </c>
      <c r="E6" s="40">
        <v>19867.599999999999</v>
      </c>
      <c r="F6" s="16">
        <f t="shared" si="0"/>
        <v>23368.68</v>
      </c>
      <c r="G6" s="16">
        <f t="shared" si="1"/>
        <v>23841.119999999999</v>
      </c>
      <c r="I6">
        <v>1.04</v>
      </c>
      <c r="J6" s="3">
        <f t="shared" ref="J6:J24" si="2">D6*1.04</f>
        <v>20252.856000000003</v>
      </c>
      <c r="L6" t="s">
        <v>46</v>
      </c>
      <c r="M6">
        <v>2045.9</v>
      </c>
      <c r="N6">
        <v>2.9000000000000001E-2</v>
      </c>
      <c r="P6">
        <f>M6*N6*D6</f>
        <v>1155407.9082900002</v>
      </c>
      <c r="R6">
        <f>M6*N6*G6</f>
        <v>1414519.8748320001</v>
      </c>
      <c r="T6" t="s">
        <v>47</v>
      </c>
    </row>
    <row r="7" spans="1:24" ht="35.1" customHeight="1" x14ac:dyDescent="0.25">
      <c r="A7" s="101"/>
      <c r="B7" s="112"/>
      <c r="C7" s="37" t="s">
        <v>28</v>
      </c>
      <c r="D7" s="40">
        <v>18047.3</v>
      </c>
      <c r="E7" s="40">
        <v>18233.400000000001</v>
      </c>
      <c r="F7" s="16">
        <f t="shared" si="0"/>
        <v>21656.76</v>
      </c>
      <c r="G7" s="16">
        <f t="shared" si="1"/>
        <v>21880.080000000002</v>
      </c>
      <c r="I7">
        <v>1.04</v>
      </c>
      <c r="J7" s="3">
        <f t="shared" si="2"/>
        <v>18769.191999999999</v>
      </c>
      <c r="P7">
        <f>P3+P4+P5+P6</f>
        <v>1911561.7924200001</v>
      </c>
      <c r="R7">
        <f>R3+R4+R5+R6</f>
        <v>2258269.3641360002</v>
      </c>
      <c r="T7">
        <f>P7+R7</f>
        <v>4169831.156556</v>
      </c>
    </row>
    <row r="8" spans="1:24" ht="35.1" customHeight="1" thickBot="1" x14ac:dyDescent="0.3">
      <c r="A8" s="102"/>
      <c r="B8" s="113"/>
      <c r="C8" s="8" t="s">
        <v>16</v>
      </c>
      <c r="D8" s="41">
        <v>16822</v>
      </c>
      <c r="E8" s="40">
        <v>17642.2</v>
      </c>
      <c r="F8" s="17">
        <f t="shared" si="0"/>
        <v>20186.399999999998</v>
      </c>
      <c r="G8" s="17">
        <f t="shared" si="1"/>
        <v>21170.639999999999</v>
      </c>
      <c r="I8">
        <v>1.04</v>
      </c>
      <c r="J8" s="3">
        <f t="shared" si="2"/>
        <v>17494.88</v>
      </c>
      <c r="P8" s="7">
        <f>P7*6</f>
        <v>11469370.754520001</v>
      </c>
      <c r="R8" s="7">
        <f>R7*6</f>
        <v>13549616.184816001</v>
      </c>
      <c r="T8">
        <f>P8+R8</f>
        <v>25018986.939336002</v>
      </c>
    </row>
    <row r="9" spans="1:24" ht="35.1" customHeight="1" x14ac:dyDescent="0.25">
      <c r="A9" s="100" t="s">
        <v>33</v>
      </c>
      <c r="B9" s="103" t="s">
        <v>34</v>
      </c>
      <c r="C9" s="10" t="s">
        <v>17</v>
      </c>
      <c r="D9" s="18">
        <v>0</v>
      </c>
      <c r="E9" s="19">
        <f>I9*J9</f>
        <v>0</v>
      </c>
      <c r="F9" s="20">
        <f t="shared" si="0"/>
        <v>0</v>
      </c>
      <c r="G9" s="20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101"/>
      <c r="B10" s="104"/>
      <c r="C10" s="37" t="s">
        <v>20</v>
      </c>
      <c r="D10" s="40">
        <v>74.099999999999994</v>
      </c>
      <c r="E10" s="40">
        <v>77</v>
      </c>
      <c r="F10" s="16">
        <f t="shared" si="0"/>
        <v>88.919999999999987</v>
      </c>
      <c r="G10" s="16">
        <f t="shared" si="1"/>
        <v>92.399999999999991</v>
      </c>
      <c r="I10">
        <v>1.04</v>
      </c>
      <c r="J10" s="3">
        <f t="shared" si="2"/>
        <v>77.063999999999993</v>
      </c>
      <c r="L10" t="s">
        <v>48</v>
      </c>
      <c r="N10" t="s">
        <v>21</v>
      </c>
      <c r="P10" t="s">
        <v>49</v>
      </c>
      <c r="R10" t="s">
        <v>47</v>
      </c>
    </row>
    <row r="11" spans="1:24" ht="35.1" customHeight="1" x14ac:dyDescent="0.25">
      <c r="A11" s="101"/>
      <c r="B11" s="104"/>
      <c r="C11" s="37" t="s">
        <v>18</v>
      </c>
      <c r="D11" s="40">
        <v>98</v>
      </c>
      <c r="E11" s="40">
        <v>105.9</v>
      </c>
      <c r="F11" s="16">
        <f t="shared" si="0"/>
        <v>117.6</v>
      </c>
      <c r="G11" s="16">
        <f t="shared" si="1"/>
        <v>127.08</v>
      </c>
      <c r="I11">
        <v>1.04</v>
      </c>
      <c r="J11" s="3">
        <f t="shared" si="2"/>
        <v>101.92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101"/>
      <c r="B12" s="104"/>
      <c r="C12" s="37" t="s">
        <v>28</v>
      </c>
      <c r="D12" s="40">
        <v>74.099999999999994</v>
      </c>
      <c r="E12" s="40">
        <v>77</v>
      </c>
      <c r="F12" s="16">
        <f t="shared" si="0"/>
        <v>88.919999999999987</v>
      </c>
      <c r="G12" s="16">
        <f t="shared" si="1"/>
        <v>92.399999999999991</v>
      </c>
      <c r="I12">
        <v>1.04</v>
      </c>
      <c r="J12" s="3">
        <f t="shared" si="2"/>
        <v>77.063999999999993</v>
      </c>
    </row>
    <row r="13" spans="1:24" ht="35.1" customHeight="1" thickBot="1" x14ac:dyDescent="0.3">
      <c r="A13" s="102"/>
      <c r="B13" s="105"/>
      <c r="C13" s="8" t="s">
        <v>16</v>
      </c>
      <c r="D13" s="45">
        <v>132.69999999999999</v>
      </c>
      <c r="E13" s="40">
        <v>136.69999999999999</v>
      </c>
      <c r="F13" s="17">
        <f t="shared" si="0"/>
        <v>159.23999999999998</v>
      </c>
      <c r="G13" s="17">
        <f t="shared" si="1"/>
        <v>164.04</v>
      </c>
      <c r="I13">
        <v>1.04</v>
      </c>
      <c r="J13" s="3">
        <f t="shared" si="2"/>
        <v>138.00799999999998</v>
      </c>
      <c r="L13" t="s">
        <v>50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100" t="s">
        <v>35</v>
      </c>
      <c r="B14" s="103" t="s">
        <v>36</v>
      </c>
      <c r="C14" s="11" t="s">
        <v>17</v>
      </c>
      <c r="D14" s="21">
        <v>0</v>
      </c>
      <c r="E14" s="22">
        <f>I14*J14</f>
        <v>0</v>
      </c>
      <c r="F14" s="23">
        <f>SUM(D14*1.18)</f>
        <v>0</v>
      </c>
      <c r="G14" s="24">
        <f>SUM(E14*1.18)</f>
        <v>0</v>
      </c>
      <c r="I14">
        <v>1.04</v>
      </c>
      <c r="J14" s="3">
        <f t="shared" si="2"/>
        <v>0</v>
      </c>
      <c r="N14" t="s">
        <v>41</v>
      </c>
      <c r="O14" t="s">
        <v>52</v>
      </c>
      <c r="P14" t="s">
        <v>44</v>
      </c>
      <c r="Q14" t="s">
        <v>53</v>
      </c>
      <c r="R14" t="s">
        <v>54</v>
      </c>
    </row>
    <row r="15" spans="1:24" ht="35.1" customHeight="1" x14ac:dyDescent="0.25">
      <c r="A15" s="101"/>
      <c r="B15" s="104"/>
      <c r="C15" s="38" t="s">
        <v>20</v>
      </c>
      <c r="D15" s="46">
        <v>140.5</v>
      </c>
      <c r="E15" s="47">
        <v>146.4</v>
      </c>
      <c r="F15" s="25">
        <f t="shared" ref="F15:G24" si="3">SUM(D15*1.2)</f>
        <v>168.6</v>
      </c>
      <c r="G15" s="26">
        <f t="shared" si="3"/>
        <v>175.68</v>
      </c>
      <c r="I15">
        <v>1.04</v>
      </c>
      <c r="J15" s="3">
        <f t="shared" si="2"/>
        <v>146.12</v>
      </c>
      <c r="L15" t="s">
        <v>51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85317.119999999995</v>
      </c>
      <c r="T15" t="s">
        <v>47</v>
      </c>
      <c r="W15" t="s">
        <v>56</v>
      </c>
      <c r="X15">
        <f>P8+N11+N13+R15</f>
        <v>17659451.974520002</v>
      </c>
    </row>
    <row r="16" spans="1:24" ht="35.1" customHeight="1" x14ac:dyDescent="0.25">
      <c r="A16" s="101"/>
      <c r="B16" s="104"/>
      <c r="C16" s="38" t="s">
        <v>18</v>
      </c>
      <c r="D16" s="46">
        <v>31.8</v>
      </c>
      <c r="E16" s="47">
        <v>33.299999999999997</v>
      </c>
      <c r="F16" s="25">
        <f t="shared" si="3"/>
        <v>38.159999999999997</v>
      </c>
      <c r="G16" s="26">
        <f t="shared" si="3"/>
        <v>39.959999999999994</v>
      </c>
      <c r="I16">
        <v>1.04</v>
      </c>
      <c r="J16" s="3">
        <f t="shared" si="2"/>
        <v>33.072000000000003</v>
      </c>
      <c r="N16">
        <v>1338</v>
      </c>
      <c r="O16">
        <v>5556</v>
      </c>
      <c r="P16">
        <v>834</v>
      </c>
      <c r="Q16">
        <v>7728</v>
      </c>
      <c r="R16">
        <f>Q16*G21</f>
        <v>88729.804799999984</v>
      </c>
      <c r="T16">
        <f>R15+R16</f>
        <v>174046.92479999998</v>
      </c>
      <c r="W16" t="s">
        <v>57</v>
      </c>
      <c r="X16">
        <f>R8+P11+P13+R16</f>
        <v>19815138.889616001</v>
      </c>
    </row>
    <row r="17" spans="1:26" s="7" customFormat="1" ht="35.1" customHeight="1" x14ac:dyDescent="0.25">
      <c r="A17" s="101"/>
      <c r="B17" s="104"/>
      <c r="C17" s="12" t="s">
        <v>28</v>
      </c>
      <c r="D17" s="42">
        <v>115</v>
      </c>
      <c r="E17" s="43">
        <v>120.6</v>
      </c>
      <c r="F17" s="27">
        <f t="shared" si="3"/>
        <v>138</v>
      </c>
      <c r="G17" s="28">
        <f t="shared" si="3"/>
        <v>144.72</v>
      </c>
      <c r="H17" s="9"/>
      <c r="I17">
        <v>1.04</v>
      </c>
      <c r="J17" s="3">
        <f>D17*1.04</f>
        <v>119.60000000000001</v>
      </c>
      <c r="W17" s="7" t="s">
        <v>55</v>
      </c>
      <c r="X17" s="7">
        <f>T8+R11+R13+T16</f>
        <v>37474590.864136003</v>
      </c>
      <c r="Z17" s="7">
        <f>X15+X16</f>
        <v>37474590.864136003</v>
      </c>
    </row>
    <row r="18" spans="1:26" ht="35.1" customHeight="1" x14ac:dyDescent="0.25">
      <c r="A18" s="108"/>
      <c r="B18" s="109"/>
      <c r="C18" s="106" t="s">
        <v>16</v>
      </c>
      <c r="D18" s="46">
        <v>152</v>
      </c>
      <c r="E18" s="47">
        <v>154.4</v>
      </c>
      <c r="F18" s="25">
        <f t="shared" si="3"/>
        <v>182.4</v>
      </c>
      <c r="G18" s="26">
        <f t="shared" si="3"/>
        <v>185.28</v>
      </c>
      <c r="H18" s="4"/>
      <c r="I18">
        <v>1.04</v>
      </c>
      <c r="J18" s="3">
        <f t="shared" si="2"/>
        <v>158.08000000000001</v>
      </c>
    </row>
    <row r="19" spans="1:26" s="7" customFormat="1" ht="35.1" customHeight="1" thickBot="1" x14ac:dyDescent="0.3">
      <c r="A19" s="102"/>
      <c r="B19" s="105"/>
      <c r="C19" s="107"/>
      <c r="D19" s="44">
        <v>114.3</v>
      </c>
      <c r="E19" s="43">
        <v>119.9</v>
      </c>
      <c r="F19" s="29">
        <f t="shared" si="3"/>
        <v>137.16</v>
      </c>
      <c r="G19" s="30">
        <f t="shared" si="3"/>
        <v>143.88</v>
      </c>
      <c r="H19" s="9"/>
      <c r="I19">
        <v>1.04</v>
      </c>
      <c r="J19" s="3">
        <f t="shared" si="2"/>
        <v>118.872</v>
      </c>
    </row>
    <row r="20" spans="1:26" ht="35.1" customHeight="1" x14ac:dyDescent="0.25">
      <c r="A20" s="100" t="s">
        <v>37</v>
      </c>
      <c r="B20" s="103" t="s">
        <v>38</v>
      </c>
      <c r="C20" s="13" t="s">
        <v>17</v>
      </c>
      <c r="D20" s="31">
        <v>0</v>
      </c>
      <c r="E20" s="32">
        <f>I20*J20</f>
        <v>0</v>
      </c>
      <c r="F20" s="33">
        <f t="shared" si="3"/>
        <v>0</v>
      </c>
      <c r="G20" s="20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101"/>
      <c r="B21" s="104"/>
      <c r="C21" s="14" t="s">
        <v>20</v>
      </c>
      <c r="D21" s="46">
        <v>9.1999999999999993</v>
      </c>
      <c r="E21" s="47">
        <f>D21*1.04</f>
        <v>9.5679999999999996</v>
      </c>
      <c r="F21" s="34">
        <f t="shared" si="3"/>
        <v>11.04</v>
      </c>
      <c r="G21" s="16">
        <f t="shared" si="3"/>
        <v>11.481599999999998</v>
      </c>
      <c r="I21">
        <v>1.04</v>
      </c>
      <c r="J21" s="3">
        <f t="shared" si="2"/>
        <v>9.5679999999999996</v>
      </c>
    </row>
    <row r="22" spans="1:26" ht="35.1" customHeight="1" x14ac:dyDescent="0.25">
      <c r="A22" s="101"/>
      <c r="B22" s="104"/>
      <c r="C22" s="14" t="s">
        <v>18</v>
      </c>
      <c r="D22" s="46">
        <v>9.3000000000000007</v>
      </c>
      <c r="E22" s="47">
        <f t="shared" ref="E22:E24" si="4">D22*1.04</f>
        <v>9.6720000000000006</v>
      </c>
      <c r="F22" s="34">
        <f t="shared" si="3"/>
        <v>11.16</v>
      </c>
      <c r="G22" s="16">
        <f t="shared" si="3"/>
        <v>11.606400000000001</v>
      </c>
      <c r="I22">
        <v>1.04</v>
      </c>
      <c r="J22" s="3">
        <f t="shared" si="2"/>
        <v>9.6720000000000006</v>
      </c>
    </row>
    <row r="23" spans="1:26" ht="35.1" customHeight="1" x14ac:dyDescent="0.25">
      <c r="A23" s="101"/>
      <c r="B23" s="104"/>
      <c r="C23" s="14" t="s">
        <v>28</v>
      </c>
      <c r="D23" s="46">
        <v>9.1999999999999993</v>
      </c>
      <c r="E23" s="47">
        <f t="shared" si="4"/>
        <v>9.5679999999999996</v>
      </c>
      <c r="F23" s="34">
        <f t="shared" si="3"/>
        <v>11.04</v>
      </c>
      <c r="G23" s="16">
        <f t="shared" si="3"/>
        <v>11.481599999999998</v>
      </c>
      <c r="I23">
        <v>1.04</v>
      </c>
      <c r="J23" s="3">
        <f t="shared" si="2"/>
        <v>9.5679999999999996</v>
      </c>
    </row>
    <row r="24" spans="1:26" ht="35.1" customHeight="1" thickBot="1" x14ac:dyDescent="0.3">
      <c r="A24" s="102"/>
      <c r="B24" s="105"/>
      <c r="C24" s="15" t="s">
        <v>16</v>
      </c>
      <c r="D24" s="48">
        <v>9.1999999999999993</v>
      </c>
      <c r="E24" s="47">
        <f t="shared" si="4"/>
        <v>9.5679999999999996</v>
      </c>
      <c r="F24" s="35">
        <f t="shared" si="3"/>
        <v>11.04</v>
      </c>
      <c r="G24" s="17">
        <f t="shared" si="3"/>
        <v>11.481599999999998</v>
      </c>
      <c r="I24">
        <v>1.04</v>
      </c>
      <c r="J24" s="3">
        <f t="shared" si="2"/>
        <v>9.5679999999999996</v>
      </c>
    </row>
    <row r="25" spans="1:26" ht="24.75" customHeight="1" x14ac:dyDescent="0.25">
      <c r="A25" s="100">
        <v>5</v>
      </c>
      <c r="B25" s="103" t="s">
        <v>59</v>
      </c>
      <c r="C25" s="13" t="s">
        <v>17</v>
      </c>
      <c r="D25" s="31">
        <v>0</v>
      </c>
      <c r="E25" s="18">
        <f>I25*J25</f>
        <v>0</v>
      </c>
      <c r="F25" s="20">
        <f t="shared" ref="F25:G29" si="5">SUM(D25*1.2)</f>
        <v>0</v>
      </c>
      <c r="G25" s="36">
        <f t="shared" si="5"/>
        <v>0</v>
      </c>
      <c r="I25">
        <v>1.04</v>
      </c>
      <c r="J25" s="3">
        <f>D25*1.04</f>
        <v>0</v>
      </c>
    </row>
    <row r="26" spans="1:26" ht="27.75" customHeight="1" x14ac:dyDescent="0.25">
      <c r="A26" s="101"/>
      <c r="B26" s="104"/>
      <c r="C26" s="38" t="s">
        <v>20</v>
      </c>
      <c r="D26" s="46">
        <v>536.5</v>
      </c>
      <c r="E26" s="46">
        <v>572.1</v>
      </c>
      <c r="F26" s="16">
        <f t="shared" si="5"/>
        <v>643.79999999999995</v>
      </c>
      <c r="G26" s="16">
        <f t="shared" si="5"/>
        <v>686.52</v>
      </c>
      <c r="I26">
        <v>1.04</v>
      </c>
      <c r="J26" s="3">
        <f>D26*1.04</f>
        <v>557.96</v>
      </c>
    </row>
    <row r="27" spans="1:26" ht="24.75" customHeight="1" x14ac:dyDescent="0.25">
      <c r="A27" s="101"/>
      <c r="B27" s="104"/>
      <c r="C27" s="38" t="s">
        <v>18</v>
      </c>
      <c r="D27" s="46">
        <v>536.5</v>
      </c>
      <c r="E27" s="46">
        <v>572.1</v>
      </c>
      <c r="F27" s="16">
        <f t="shared" si="5"/>
        <v>643.79999999999995</v>
      </c>
      <c r="G27" s="16">
        <f t="shared" si="5"/>
        <v>686.52</v>
      </c>
      <c r="I27">
        <v>1.04</v>
      </c>
      <c r="J27" s="3">
        <f>D27*1.04</f>
        <v>557.96</v>
      </c>
    </row>
    <row r="28" spans="1:26" ht="30" customHeight="1" x14ac:dyDescent="0.25">
      <c r="A28" s="101"/>
      <c r="B28" s="104"/>
      <c r="C28" s="38" t="s">
        <v>28</v>
      </c>
      <c r="D28" s="46">
        <v>536.5</v>
      </c>
      <c r="E28" s="46">
        <v>572.1</v>
      </c>
      <c r="F28" s="16">
        <f t="shared" si="5"/>
        <v>643.79999999999995</v>
      </c>
      <c r="G28" s="16">
        <f t="shared" si="5"/>
        <v>686.52</v>
      </c>
      <c r="I28">
        <v>1.04</v>
      </c>
      <c r="J28" s="3">
        <f>D28*1.04</f>
        <v>557.96</v>
      </c>
    </row>
    <row r="29" spans="1:26" ht="35.25" customHeight="1" thickBot="1" x14ac:dyDescent="0.3">
      <c r="A29" s="102"/>
      <c r="B29" s="105"/>
      <c r="C29" s="39" t="s">
        <v>16</v>
      </c>
      <c r="D29" s="46">
        <v>536.5</v>
      </c>
      <c r="E29" s="46">
        <v>572.1</v>
      </c>
      <c r="F29" s="16">
        <f t="shared" si="5"/>
        <v>643.79999999999995</v>
      </c>
      <c r="G29" s="16">
        <f t="shared" si="5"/>
        <v>686.52</v>
      </c>
      <c r="I29">
        <v>1.04</v>
      </c>
      <c r="J29" s="3">
        <f>D29*1.04</f>
        <v>557.96</v>
      </c>
    </row>
  </sheetData>
  <mergeCells count="13">
    <mergeCell ref="A9:A13"/>
    <mergeCell ref="B9:B13"/>
    <mergeCell ref="A1:G1"/>
    <mergeCell ref="A2:G2"/>
    <mergeCell ref="A4:A8"/>
    <mergeCell ref="B4:B8"/>
    <mergeCell ref="A25:A29"/>
    <mergeCell ref="B25:B29"/>
    <mergeCell ref="C18:C19"/>
    <mergeCell ref="A20:A24"/>
    <mergeCell ref="B20:B24"/>
    <mergeCell ref="A14:A19"/>
    <mergeCell ref="B14:B19"/>
  </mergeCells>
  <phoneticPr fontId="5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ЛИМИТЫ</vt:lpstr>
      <vt:lpstr>ТАРИФЫ</vt:lpstr>
      <vt:lpstr>ЛИМИТЫ!Заголовки_для_печати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2025-02-18T00:41:59Z</cp:lastPrinted>
  <dcterms:created xsi:type="dcterms:W3CDTF">2016-11-22T02:25:12Z</dcterms:created>
  <dcterms:modified xsi:type="dcterms:W3CDTF">2025-02-18T00:42:01Z</dcterms:modified>
</cp:coreProperties>
</file>