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bsh_spec03\Desktop\СДЕЛАТЬ\Покидина\"/>
    </mc:Choice>
  </mc:AlternateContent>
  <bookViews>
    <workbookView xWindow="-120" yWindow="-120" windowWidth="29040" windowHeight="15840"/>
  </bookViews>
  <sheets>
    <sheet name="ЛИМИТЫ" sheetId="1" r:id="rId1"/>
    <sheet name="ТАРИФЫ" sheetId="2" r:id="rId2"/>
  </sheets>
  <definedNames>
    <definedName name="_xlnm._FilterDatabase" localSheetId="0" hidden="1">ЛИМИТЫ!$A$13:$Q$141</definedName>
    <definedName name="_xlnm.Print_Titles" localSheetId="0">ЛИМИТЫ!$10:$13</definedName>
    <definedName name="_xlnm.Print_Area" localSheetId="0">ЛИМИТЫ!$A$1:$T$148</definedName>
  </definedNames>
  <calcPr calcId="152511"/>
</workbook>
</file>

<file path=xl/calcChain.xml><?xml version="1.0" encoding="utf-8"?>
<calcChain xmlns="http://schemas.openxmlformats.org/spreadsheetml/2006/main">
  <c r="B130" i="1" l="1"/>
  <c r="B131" i="1"/>
  <c r="B136" i="1"/>
  <c r="C136" i="1"/>
  <c r="M105" i="1"/>
  <c r="M20" i="1"/>
  <c r="M19" i="1"/>
  <c r="K35" i="1"/>
  <c r="E22" i="2"/>
  <c r="E23" i="2"/>
  <c r="E24" i="2"/>
  <c r="E21" i="2"/>
  <c r="E17" i="2"/>
  <c r="E18" i="2"/>
  <c r="E19" i="2"/>
  <c r="L102" i="1" l="1"/>
  <c r="M102" i="1"/>
  <c r="L101" i="1"/>
  <c r="M101" i="1"/>
  <c r="M18" i="1"/>
  <c r="M106" i="1"/>
  <c r="M144" i="1" l="1"/>
  <c r="M143" i="1"/>
  <c r="M75" i="1"/>
  <c r="M76" i="1"/>
  <c r="J82" i="1"/>
  <c r="L18" i="1"/>
  <c r="O18" i="1"/>
  <c r="Q18" i="1"/>
  <c r="R18" i="1"/>
  <c r="S18" i="1"/>
  <c r="T18" i="1"/>
  <c r="D19" i="1"/>
  <c r="F19" i="1"/>
  <c r="H19" i="1"/>
  <c r="L19" i="1"/>
  <c r="O19" i="1"/>
  <c r="Q19" i="1"/>
  <c r="R19" i="1"/>
  <c r="S19" i="1"/>
  <c r="T19" i="1"/>
  <c r="D20" i="1"/>
  <c r="F20" i="1"/>
  <c r="H20" i="1"/>
  <c r="J20" i="1"/>
  <c r="L20" i="1"/>
  <c r="L104" i="1"/>
  <c r="M104" i="1"/>
  <c r="L106" i="1"/>
  <c r="L105" i="1"/>
  <c r="L112" i="1"/>
  <c r="M112" i="1"/>
  <c r="L88" i="1"/>
  <c r="M88" i="1"/>
  <c r="L78" i="1"/>
  <c r="M78" i="1"/>
  <c r="L74" i="1"/>
  <c r="M74" i="1"/>
  <c r="L75" i="1"/>
  <c r="L76" i="1"/>
  <c r="L22" i="1"/>
  <c r="M22" i="1"/>
  <c r="F18" i="1" l="1"/>
  <c r="D18" i="1"/>
  <c r="H18" i="1"/>
  <c r="O143" i="1"/>
  <c r="Q143" i="1"/>
  <c r="R143" i="1"/>
  <c r="S143" i="1"/>
  <c r="T143" i="1"/>
  <c r="D131" i="1"/>
  <c r="E131" i="1"/>
  <c r="F131" i="1"/>
  <c r="G131" i="1"/>
  <c r="H131" i="1"/>
  <c r="I131" i="1"/>
  <c r="J131" i="1"/>
  <c r="K131" i="1"/>
  <c r="L131" i="1"/>
  <c r="M131" i="1"/>
  <c r="D130" i="1"/>
  <c r="E130" i="1"/>
  <c r="F130" i="1"/>
  <c r="G130" i="1"/>
  <c r="H130" i="1"/>
  <c r="I130" i="1"/>
  <c r="J130" i="1"/>
  <c r="K130" i="1"/>
  <c r="L130" i="1"/>
  <c r="M130" i="1"/>
  <c r="N136" i="1" l="1"/>
  <c r="C122" i="1"/>
  <c r="C99" i="1"/>
  <c r="C90" i="1"/>
  <c r="C73" i="1"/>
  <c r="C64" i="1"/>
  <c r="C55" i="1"/>
  <c r="C42" i="1"/>
  <c r="C33" i="1"/>
  <c r="C24" i="1"/>
  <c r="L144" i="1"/>
  <c r="L143" i="1"/>
  <c r="M121" i="1"/>
  <c r="M118" i="1"/>
  <c r="M108" i="1"/>
  <c r="M84" i="1"/>
  <c r="M81" i="1"/>
  <c r="M71" i="1"/>
  <c r="M68" i="1"/>
  <c r="M65" i="1"/>
  <c r="M62" i="1"/>
  <c r="M59" i="1"/>
  <c r="M56" i="1"/>
  <c r="M53" i="1"/>
  <c r="M50" i="1"/>
  <c r="F27" i="2"/>
  <c r="G27" i="2"/>
  <c r="F28" i="2"/>
  <c r="G28" i="2"/>
  <c r="F29" i="2"/>
  <c r="G29" i="2"/>
  <c r="G26" i="2"/>
  <c r="F26" i="2"/>
  <c r="J29" i="2"/>
  <c r="J28" i="2"/>
  <c r="J27" i="2"/>
  <c r="J26" i="2"/>
  <c r="J25" i="2"/>
  <c r="F25" i="2"/>
  <c r="E25" i="2"/>
  <c r="G25" i="2" s="1"/>
  <c r="N141" i="1"/>
  <c r="N140" i="1"/>
  <c r="B109" i="1"/>
  <c r="G23" i="1"/>
  <c r="J24" i="2"/>
  <c r="G24" i="2"/>
  <c r="F24" i="2"/>
  <c r="J23" i="2"/>
  <c r="G23" i="2"/>
  <c r="F23" i="2"/>
  <c r="C138" i="1" s="1"/>
  <c r="J22" i="2"/>
  <c r="G22" i="2"/>
  <c r="F22" i="2"/>
  <c r="C137" i="1" s="1"/>
  <c r="N137" i="1" s="1"/>
  <c r="J21" i="2"/>
  <c r="G21" i="2"/>
  <c r="F21" i="2"/>
  <c r="C119" i="1" s="1"/>
  <c r="J20" i="2"/>
  <c r="E20" i="2" s="1"/>
  <c r="G20" i="2" s="1"/>
  <c r="F20" i="2"/>
  <c r="J19" i="2"/>
  <c r="G19" i="2"/>
  <c r="F19" i="2"/>
  <c r="J18" i="2"/>
  <c r="G18" i="2"/>
  <c r="F18" i="2"/>
  <c r="J17" i="2"/>
  <c r="G17" i="2"/>
  <c r="F17" i="2"/>
  <c r="J16" i="2"/>
  <c r="G16" i="2"/>
  <c r="F16" i="2"/>
  <c r="J15" i="2"/>
  <c r="G15" i="2"/>
  <c r="K24" i="1" s="1"/>
  <c r="F15" i="2"/>
  <c r="J14" i="2"/>
  <c r="E14" i="2" s="1"/>
  <c r="G14" i="2" s="1"/>
  <c r="F14" i="2"/>
  <c r="J13" i="2"/>
  <c r="G13" i="2"/>
  <c r="F13" i="2"/>
  <c r="J12" i="2"/>
  <c r="G12" i="2"/>
  <c r="F12" i="2"/>
  <c r="J11" i="2"/>
  <c r="G11" i="2"/>
  <c r="F11" i="2"/>
  <c r="J10" i="2"/>
  <c r="G10" i="2"/>
  <c r="F10" i="2"/>
  <c r="I24" i="1" s="1"/>
  <c r="J9" i="2"/>
  <c r="E9" i="2" s="1"/>
  <c r="G9" i="2" s="1"/>
  <c r="F9" i="2"/>
  <c r="J8" i="2"/>
  <c r="G8" i="2"/>
  <c r="F8" i="2"/>
  <c r="J7" i="2"/>
  <c r="G7" i="2"/>
  <c r="F7" i="2"/>
  <c r="J6" i="2"/>
  <c r="G6" i="2"/>
  <c r="F6" i="2"/>
  <c r="J5" i="2"/>
  <c r="G5" i="2"/>
  <c r="G24" i="1" s="1"/>
  <c r="F5" i="2"/>
  <c r="E23" i="1" s="1"/>
  <c r="G4" i="2"/>
  <c r="F4" i="2"/>
  <c r="N138" i="1" l="1"/>
  <c r="C27" i="1"/>
  <c r="C35" i="1"/>
  <c r="C44" i="1"/>
  <c r="C57" i="1"/>
  <c r="C66" i="1"/>
  <c r="C79" i="1"/>
  <c r="C92" i="1"/>
  <c r="C113" i="1"/>
  <c r="C26" i="1"/>
  <c r="C36" i="1"/>
  <c r="C45" i="1"/>
  <c r="C58" i="1"/>
  <c r="C67" i="1"/>
  <c r="C80" i="1"/>
  <c r="C93" i="1"/>
  <c r="C114" i="1"/>
  <c r="C126" i="1"/>
  <c r="C30" i="1"/>
  <c r="C38" i="1"/>
  <c r="C51" i="1"/>
  <c r="C60" i="1"/>
  <c r="C69" i="1"/>
  <c r="C82" i="1"/>
  <c r="C95" i="1"/>
  <c r="C116" i="1"/>
  <c r="C127" i="1"/>
  <c r="C29" i="1"/>
  <c r="C39" i="1"/>
  <c r="C52" i="1"/>
  <c r="C61" i="1"/>
  <c r="C70" i="1"/>
  <c r="C83" i="1"/>
  <c r="C81" i="1" s="1"/>
  <c r="C96" i="1"/>
  <c r="C117" i="1"/>
  <c r="C134" i="1"/>
  <c r="C23" i="1"/>
  <c r="C32" i="1"/>
  <c r="C31" i="1" s="1"/>
  <c r="C41" i="1"/>
  <c r="C54" i="1"/>
  <c r="C53" i="1" s="1"/>
  <c r="C63" i="1"/>
  <c r="C72" i="1"/>
  <c r="C89" i="1"/>
  <c r="C98" i="1"/>
  <c r="C120" i="1"/>
  <c r="C135" i="1"/>
  <c r="N135" i="1" s="1"/>
  <c r="C123" i="1"/>
  <c r="L142" i="1"/>
  <c r="M100" i="1"/>
  <c r="M142" i="1"/>
  <c r="E39" i="1"/>
  <c r="G126" i="1"/>
  <c r="E126" i="1"/>
  <c r="B19" i="1"/>
  <c r="D85" i="1"/>
  <c r="F85" i="1"/>
  <c r="H85" i="1"/>
  <c r="B85" i="1"/>
  <c r="B76" i="1"/>
  <c r="B75" i="1"/>
  <c r="B20" i="1"/>
  <c r="I123" i="1"/>
  <c r="I122" i="1"/>
  <c r="I121" i="1" s="1"/>
  <c r="G123" i="1"/>
  <c r="G122" i="1"/>
  <c r="E123" i="1"/>
  <c r="I119" i="1"/>
  <c r="I120" i="1"/>
  <c r="G120" i="1"/>
  <c r="G119" i="1"/>
  <c r="E120" i="1"/>
  <c r="I116" i="1"/>
  <c r="E117" i="1"/>
  <c r="E116" i="1"/>
  <c r="I114" i="1"/>
  <c r="I113" i="1"/>
  <c r="G114" i="1"/>
  <c r="G110" i="1" s="1"/>
  <c r="E114" i="1"/>
  <c r="G113" i="1"/>
  <c r="G109" i="1" s="1"/>
  <c r="E99" i="1"/>
  <c r="E98" i="1"/>
  <c r="I96" i="1"/>
  <c r="I95" i="1"/>
  <c r="E96" i="1"/>
  <c r="E95" i="1"/>
  <c r="I93" i="1"/>
  <c r="I92" i="1"/>
  <c r="I91" i="1" s="1"/>
  <c r="G93" i="1"/>
  <c r="G92" i="1"/>
  <c r="E93" i="1"/>
  <c r="E92" i="1"/>
  <c r="I90" i="1"/>
  <c r="I89" i="1"/>
  <c r="G90" i="1"/>
  <c r="E90" i="1"/>
  <c r="G89" i="1"/>
  <c r="I83" i="1"/>
  <c r="I82" i="1"/>
  <c r="G83" i="1"/>
  <c r="E83" i="1"/>
  <c r="G82" i="1"/>
  <c r="E82" i="1"/>
  <c r="I80" i="1"/>
  <c r="I79" i="1"/>
  <c r="G80" i="1"/>
  <c r="G79" i="1"/>
  <c r="E80" i="1"/>
  <c r="E73" i="1"/>
  <c r="I73" i="1"/>
  <c r="I72" i="1"/>
  <c r="G73" i="1"/>
  <c r="G72" i="1"/>
  <c r="I70" i="1"/>
  <c r="I69" i="1"/>
  <c r="E70" i="1"/>
  <c r="E69" i="1"/>
  <c r="K30" i="1"/>
  <c r="K29" i="1"/>
  <c r="I67" i="1"/>
  <c r="I66" i="1"/>
  <c r="G67" i="1"/>
  <c r="G66" i="1"/>
  <c r="E67" i="1"/>
  <c r="E66" i="1"/>
  <c r="I64" i="1"/>
  <c r="I63" i="1"/>
  <c r="G64" i="1"/>
  <c r="G63" i="1"/>
  <c r="E64" i="1"/>
  <c r="E63" i="1"/>
  <c r="E61" i="1"/>
  <c r="I61" i="1"/>
  <c r="I60" i="1"/>
  <c r="G61" i="1"/>
  <c r="G60" i="1"/>
  <c r="G59" i="1" s="1"/>
  <c r="I58" i="1"/>
  <c r="I57" i="1"/>
  <c r="E58" i="1"/>
  <c r="E57" i="1"/>
  <c r="E56" i="1" s="1"/>
  <c r="I55" i="1"/>
  <c r="I54" i="1"/>
  <c r="G55" i="1"/>
  <c r="G54" i="1"/>
  <c r="G53" i="1" s="1"/>
  <c r="E55" i="1"/>
  <c r="E54" i="1"/>
  <c r="I52" i="1"/>
  <c r="I51" i="1"/>
  <c r="G52" i="1"/>
  <c r="G51" i="1"/>
  <c r="E51" i="1"/>
  <c r="E52" i="1"/>
  <c r="K48" i="1"/>
  <c r="I48" i="1"/>
  <c r="I47" i="1"/>
  <c r="E45" i="1"/>
  <c r="E44" i="1"/>
  <c r="N44" i="1" s="1"/>
  <c r="E41" i="1"/>
  <c r="K42" i="1"/>
  <c r="I42" i="1"/>
  <c r="I41" i="1"/>
  <c r="G42" i="1"/>
  <c r="K39" i="1"/>
  <c r="K38" i="1"/>
  <c r="K37" i="1" s="1"/>
  <c r="I39" i="1"/>
  <c r="I38" i="1"/>
  <c r="G39" i="1"/>
  <c r="G38" i="1"/>
  <c r="G37" i="1" s="1"/>
  <c r="E42" i="1"/>
  <c r="K36" i="1"/>
  <c r="K34" i="1" s="1"/>
  <c r="I36" i="1"/>
  <c r="I35" i="1"/>
  <c r="G36" i="1"/>
  <c r="G35" i="1"/>
  <c r="E36" i="1"/>
  <c r="K33" i="1"/>
  <c r="K32" i="1"/>
  <c r="I33" i="1"/>
  <c r="I32" i="1"/>
  <c r="E33" i="1"/>
  <c r="E32" i="1"/>
  <c r="I30" i="1"/>
  <c r="I29" i="1"/>
  <c r="E30" i="1"/>
  <c r="E29" i="1"/>
  <c r="K27" i="1"/>
  <c r="K26" i="1"/>
  <c r="I27" i="1"/>
  <c r="I26" i="1"/>
  <c r="I23" i="1"/>
  <c r="G27" i="1"/>
  <c r="E27" i="1"/>
  <c r="E24" i="1"/>
  <c r="K17" i="1"/>
  <c r="K16" i="1"/>
  <c r="I17" i="1"/>
  <c r="I16" i="1"/>
  <c r="E122" i="1"/>
  <c r="E119" i="1"/>
  <c r="E113" i="1"/>
  <c r="E109" i="1" s="1"/>
  <c r="E89" i="1"/>
  <c r="E79" i="1"/>
  <c r="E72" i="1"/>
  <c r="E60" i="1"/>
  <c r="E59" i="1" s="1"/>
  <c r="E38" i="1"/>
  <c r="E35" i="1"/>
  <c r="G26" i="1"/>
  <c r="G25" i="1" s="1"/>
  <c r="E26" i="1"/>
  <c r="E20" i="1" l="1"/>
  <c r="E31" i="1"/>
  <c r="K31" i="1"/>
  <c r="G62" i="1"/>
  <c r="I65" i="1"/>
  <c r="I86" i="1"/>
  <c r="I118" i="1"/>
  <c r="C59" i="1"/>
  <c r="C125" i="1"/>
  <c r="K20" i="1"/>
  <c r="G118" i="1"/>
  <c r="C110" i="1"/>
  <c r="E19" i="1"/>
  <c r="E105" i="1"/>
  <c r="N33" i="1"/>
  <c r="C25" i="1"/>
  <c r="N42" i="1"/>
  <c r="G76" i="1"/>
  <c r="G85" i="1"/>
  <c r="G101" i="1" s="1"/>
  <c r="C20" i="1"/>
  <c r="C94" i="1"/>
  <c r="C50" i="1"/>
  <c r="G20" i="1"/>
  <c r="G18" i="1" s="1"/>
  <c r="I20" i="1"/>
  <c r="G105" i="1"/>
  <c r="G19" i="1"/>
  <c r="N73" i="1"/>
  <c r="E88" i="1"/>
  <c r="E85" i="1"/>
  <c r="E101" i="1" s="1"/>
  <c r="C106" i="1"/>
  <c r="C109" i="1"/>
  <c r="C105" i="1" s="1"/>
  <c r="E76" i="1"/>
  <c r="I102" i="1"/>
  <c r="C91" i="1"/>
  <c r="E118" i="1"/>
  <c r="K15" i="1"/>
  <c r="I34" i="1"/>
  <c r="E75" i="1"/>
  <c r="I76" i="1"/>
  <c r="E62" i="1"/>
  <c r="I62" i="1"/>
  <c r="I68" i="1"/>
  <c r="E81" i="1"/>
  <c r="I81" i="1"/>
  <c r="G86" i="1"/>
  <c r="G102" i="1" s="1"/>
  <c r="E110" i="1"/>
  <c r="E106" i="1" s="1"/>
  <c r="E115" i="1"/>
  <c r="E121" i="1"/>
  <c r="C85" i="1"/>
  <c r="C101" i="1" s="1"/>
  <c r="C88" i="1"/>
  <c r="N30" i="1"/>
  <c r="C78" i="1"/>
  <c r="N35" i="1"/>
  <c r="C86" i="1"/>
  <c r="C102" i="1" s="1"/>
  <c r="I112" i="1"/>
  <c r="I109" i="1"/>
  <c r="I105" i="1" s="1"/>
  <c r="C62" i="1"/>
  <c r="C19" i="1"/>
  <c r="N39" i="1"/>
  <c r="C56" i="1"/>
  <c r="E28" i="1"/>
  <c r="E43" i="1"/>
  <c r="I75" i="1"/>
  <c r="I74" i="1" s="1"/>
  <c r="E86" i="1"/>
  <c r="E102" i="1" s="1"/>
  <c r="I110" i="1"/>
  <c r="I106" i="1" s="1"/>
  <c r="N134" i="1"/>
  <c r="C133" i="1"/>
  <c r="N38" i="1"/>
  <c r="I19" i="1"/>
  <c r="N48" i="1"/>
  <c r="G50" i="1"/>
  <c r="G75" i="1"/>
  <c r="I53" i="1"/>
  <c r="I56" i="1"/>
  <c r="I59" i="1"/>
  <c r="I85" i="1"/>
  <c r="I101" i="1" s="1"/>
  <c r="G91" i="1"/>
  <c r="N98" i="1"/>
  <c r="G106" i="1"/>
  <c r="G121" i="1"/>
  <c r="C75" i="1"/>
  <c r="N32" i="1"/>
  <c r="C76" i="1"/>
  <c r="C65" i="1"/>
  <c r="E22" i="1"/>
  <c r="C121" i="1"/>
  <c r="C131" i="1"/>
  <c r="C130" i="1"/>
  <c r="E91" i="1"/>
  <c r="N36" i="1"/>
  <c r="I50" i="1"/>
  <c r="E97" i="1"/>
  <c r="E94" i="1"/>
  <c r="N24" i="1"/>
  <c r="G78" i="1"/>
  <c r="G65" i="1"/>
  <c r="N117" i="1"/>
  <c r="N29" i="1"/>
  <c r="N26" i="1"/>
  <c r="I15" i="1"/>
  <c r="I37" i="1"/>
  <c r="G81" i="1"/>
  <c r="E34" i="1"/>
  <c r="G108" i="1"/>
  <c r="N45" i="1"/>
  <c r="E71" i="1"/>
  <c r="E112" i="1"/>
  <c r="N27" i="1"/>
  <c r="E17" i="1"/>
  <c r="E16" i="1"/>
  <c r="D129" i="1"/>
  <c r="F129" i="1"/>
  <c r="H129" i="1"/>
  <c r="I129" i="1"/>
  <c r="J129" i="1"/>
  <c r="K129" i="1"/>
  <c r="B129" i="1"/>
  <c r="D121" i="1"/>
  <c r="F121" i="1"/>
  <c r="H121" i="1"/>
  <c r="D94" i="1"/>
  <c r="F94" i="1"/>
  <c r="G94" i="1"/>
  <c r="H94" i="1"/>
  <c r="I94" i="1"/>
  <c r="D91" i="1"/>
  <c r="F91" i="1"/>
  <c r="H91" i="1"/>
  <c r="D88" i="1"/>
  <c r="F88" i="1"/>
  <c r="G88" i="1"/>
  <c r="H88" i="1"/>
  <c r="I88" i="1"/>
  <c r="O88" i="1"/>
  <c r="Q88" i="1"/>
  <c r="R88" i="1"/>
  <c r="S88" i="1"/>
  <c r="T88" i="1"/>
  <c r="B94" i="1"/>
  <c r="B91" i="1"/>
  <c r="B88" i="1"/>
  <c r="D81" i="1"/>
  <c r="F81" i="1"/>
  <c r="H81" i="1"/>
  <c r="B81" i="1"/>
  <c r="D78" i="1"/>
  <c r="E78" i="1"/>
  <c r="F78" i="1"/>
  <c r="H78" i="1"/>
  <c r="I78" i="1"/>
  <c r="B78" i="1"/>
  <c r="B74" i="1"/>
  <c r="D75" i="1"/>
  <c r="F75" i="1"/>
  <c r="H75" i="1"/>
  <c r="D71" i="1"/>
  <c r="F71" i="1"/>
  <c r="G71" i="1"/>
  <c r="H71" i="1"/>
  <c r="I71" i="1"/>
  <c r="D68" i="1"/>
  <c r="E68" i="1"/>
  <c r="F68" i="1"/>
  <c r="G68" i="1"/>
  <c r="H68" i="1"/>
  <c r="D65" i="1"/>
  <c r="E65" i="1"/>
  <c r="F65" i="1"/>
  <c r="H65" i="1"/>
  <c r="D62" i="1"/>
  <c r="F62" i="1"/>
  <c r="H62" i="1"/>
  <c r="D59" i="1"/>
  <c r="F59" i="1"/>
  <c r="H59" i="1"/>
  <c r="D56" i="1"/>
  <c r="F56" i="1"/>
  <c r="G56" i="1"/>
  <c r="H56" i="1"/>
  <c r="B71" i="1"/>
  <c r="B68" i="1"/>
  <c r="B65" i="1"/>
  <c r="B62" i="1"/>
  <c r="B59" i="1"/>
  <c r="B56" i="1"/>
  <c r="D53" i="1"/>
  <c r="E53" i="1"/>
  <c r="F53" i="1"/>
  <c r="H53" i="1"/>
  <c r="B53" i="1"/>
  <c r="D50" i="1"/>
  <c r="E50" i="1"/>
  <c r="F50" i="1"/>
  <c r="H50" i="1"/>
  <c r="O50" i="1"/>
  <c r="Q50" i="1"/>
  <c r="R50" i="1"/>
  <c r="S50" i="1"/>
  <c r="T50" i="1"/>
  <c r="B50" i="1"/>
  <c r="D46" i="1"/>
  <c r="E46" i="1"/>
  <c r="F46" i="1"/>
  <c r="G46" i="1"/>
  <c r="H46" i="1"/>
  <c r="I46" i="1"/>
  <c r="B46" i="1"/>
  <c r="J47" i="1"/>
  <c r="D43" i="1"/>
  <c r="F43" i="1"/>
  <c r="G43" i="1"/>
  <c r="H43" i="1"/>
  <c r="I43" i="1"/>
  <c r="J43" i="1"/>
  <c r="K43" i="1"/>
  <c r="B43" i="1"/>
  <c r="J41" i="1"/>
  <c r="J19" i="1" s="1"/>
  <c r="J18" i="1" s="1"/>
  <c r="D40" i="1"/>
  <c r="E40" i="1"/>
  <c r="F40" i="1"/>
  <c r="G40" i="1"/>
  <c r="H40" i="1"/>
  <c r="I40" i="1"/>
  <c r="B40" i="1"/>
  <c r="D37" i="1"/>
  <c r="E37" i="1"/>
  <c r="F37" i="1"/>
  <c r="H37" i="1"/>
  <c r="J37" i="1"/>
  <c r="B37" i="1"/>
  <c r="D34" i="1"/>
  <c r="F34" i="1"/>
  <c r="G34" i="1"/>
  <c r="H34" i="1"/>
  <c r="J34" i="1"/>
  <c r="B34" i="1"/>
  <c r="D31" i="1"/>
  <c r="F31" i="1"/>
  <c r="G31" i="1"/>
  <c r="H31" i="1"/>
  <c r="I31" i="1"/>
  <c r="J31" i="1"/>
  <c r="O31" i="1"/>
  <c r="Q31" i="1"/>
  <c r="R31" i="1"/>
  <c r="S31" i="1"/>
  <c r="T31" i="1"/>
  <c r="B31" i="1"/>
  <c r="D28" i="1"/>
  <c r="F28" i="1"/>
  <c r="G28" i="1"/>
  <c r="H28" i="1"/>
  <c r="I28" i="1"/>
  <c r="J28" i="1"/>
  <c r="K28" i="1"/>
  <c r="B28" i="1"/>
  <c r="D25" i="1"/>
  <c r="E25" i="1"/>
  <c r="F25" i="1"/>
  <c r="H25" i="1"/>
  <c r="I25" i="1"/>
  <c r="J25" i="1"/>
  <c r="K25" i="1"/>
  <c r="O25" i="1"/>
  <c r="Q25" i="1"/>
  <c r="R25" i="1"/>
  <c r="S25" i="1"/>
  <c r="T25" i="1"/>
  <c r="B25" i="1"/>
  <c r="D22" i="1"/>
  <c r="F22" i="1"/>
  <c r="G22" i="1"/>
  <c r="H22" i="1"/>
  <c r="I22" i="1"/>
  <c r="J23" i="1"/>
  <c r="K23" i="1" s="1"/>
  <c r="J73" i="1"/>
  <c r="K73" i="1" s="1"/>
  <c r="J72" i="1"/>
  <c r="J70" i="1"/>
  <c r="K70" i="1" s="1"/>
  <c r="N70" i="1" s="1"/>
  <c r="J69" i="1"/>
  <c r="J67" i="1"/>
  <c r="K67" i="1" s="1"/>
  <c r="N67" i="1" s="1"/>
  <c r="J66" i="1"/>
  <c r="J64" i="1"/>
  <c r="K64" i="1" s="1"/>
  <c r="J63" i="1"/>
  <c r="J61" i="1"/>
  <c r="K61" i="1" s="1"/>
  <c r="N61" i="1" s="1"/>
  <c r="J60" i="1"/>
  <c r="J58" i="1"/>
  <c r="K58" i="1" s="1"/>
  <c r="N58" i="1" s="1"/>
  <c r="J57" i="1"/>
  <c r="K57" i="1" s="1"/>
  <c r="J55" i="1"/>
  <c r="K55" i="1" s="1"/>
  <c r="N55" i="1" s="1"/>
  <c r="J54" i="1"/>
  <c r="K54" i="1" s="1"/>
  <c r="N54" i="1" s="1"/>
  <c r="J51" i="1"/>
  <c r="J52" i="1"/>
  <c r="K52" i="1" s="1"/>
  <c r="D76" i="1"/>
  <c r="F76" i="1"/>
  <c r="H76" i="1"/>
  <c r="J80" i="1"/>
  <c r="K80" i="1" s="1"/>
  <c r="J79" i="1"/>
  <c r="K79" i="1" s="1"/>
  <c r="J83" i="1"/>
  <c r="K83" i="1" s="1"/>
  <c r="N83" i="1" s="1"/>
  <c r="J99" i="1"/>
  <c r="K99" i="1" s="1"/>
  <c r="N99" i="1" s="1"/>
  <c r="J98" i="1"/>
  <c r="J96" i="1"/>
  <c r="J95" i="1"/>
  <c r="K95" i="1" s="1"/>
  <c r="J93" i="1"/>
  <c r="K93" i="1" s="1"/>
  <c r="N93" i="1" s="1"/>
  <c r="J92" i="1"/>
  <c r="K92" i="1" s="1"/>
  <c r="J89" i="1"/>
  <c r="J90" i="1"/>
  <c r="K90" i="1" s="1"/>
  <c r="G129" i="1"/>
  <c r="O131" i="1"/>
  <c r="Q131" i="1"/>
  <c r="R131" i="1"/>
  <c r="S131" i="1"/>
  <c r="T131" i="1"/>
  <c r="D133" i="1"/>
  <c r="E133" i="1"/>
  <c r="F133" i="1"/>
  <c r="G133" i="1"/>
  <c r="H133" i="1"/>
  <c r="I133" i="1"/>
  <c r="J133" i="1"/>
  <c r="K133" i="1"/>
  <c r="B133" i="1"/>
  <c r="B121" i="1"/>
  <c r="D118" i="1"/>
  <c r="F118" i="1"/>
  <c r="H118" i="1"/>
  <c r="B118" i="1"/>
  <c r="D115" i="1"/>
  <c r="F115" i="1"/>
  <c r="G115" i="1"/>
  <c r="H115" i="1"/>
  <c r="I115" i="1"/>
  <c r="B115" i="1"/>
  <c r="D112" i="1"/>
  <c r="F112" i="1"/>
  <c r="G112" i="1"/>
  <c r="H112" i="1"/>
  <c r="B112" i="1"/>
  <c r="O105" i="1"/>
  <c r="Q105" i="1"/>
  <c r="R105" i="1"/>
  <c r="S105" i="1"/>
  <c r="T105" i="1"/>
  <c r="D109" i="1"/>
  <c r="D105" i="1" s="1"/>
  <c r="F109" i="1"/>
  <c r="F105" i="1" s="1"/>
  <c r="H109" i="1"/>
  <c r="H105" i="1" s="1"/>
  <c r="B105" i="1"/>
  <c r="D110" i="1"/>
  <c r="D106" i="1" s="1"/>
  <c r="F110" i="1"/>
  <c r="F106" i="1" s="1"/>
  <c r="H110" i="1"/>
  <c r="H106" i="1" s="1"/>
  <c r="B110" i="1"/>
  <c r="B106" i="1" s="1"/>
  <c r="J123" i="1"/>
  <c r="K123" i="1" s="1"/>
  <c r="N123" i="1" s="1"/>
  <c r="J122" i="1"/>
  <c r="J120" i="1"/>
  <c r="K120" i="1" s="1"/>
  <c r="J119" i="1"/>
  <c r="J117" i="1"/>
  <c r="J116" i="1"/>
  <c r="K116" i="1" s="1"/>
  <c r="K115" i="1" s="1"/>
  <c r="J114" i="1"/>
  <c r="K114" i="1" s="1"/>
  <c r="K110" i="1" s="1"/>
  <c r="J113" i="1"/>
  <c r="K113" i="1" s="1"/>
  <c r="D97" i="1"/>
  <c r="F97" i="1"/>
  <c r="G97" i="1"/>
  <c r="H97" i="1"/>
  <c r="I97" i="1"/>
  <c r="B97" i="1"/>
  <c r="D101" i="1"/>
  <c r="F101" i="1"/>
  <c r="H101" i="1"/>
  <c r="B101" i="1"/>
  <c r="D86" i="1"/>
  <c r="D102" i="1" s="1"/>
  <c r="F86" i="1"/>
  <c r="F102" i="1" s="1"/>
  <c r="H86" i="1"/>
  <c r="H102" i="1" s="1"/>
  <c r="B86" i="1"/>
  <c r="B102" i="1" s="1"/>
  <c r="C97" i="1"/>
  <c r="C17" i="1"/>
  <c r="C16" i="1"/>
  <c r="C48" i="1"/>
  <c r="G104" i="1" l="1"/>
  <c r="K91" i="1"/>
  <c r="K76" i="1"/>
  <c r="K56" i="1"/>
  <c r="N56" i="1" s="1"/>
  <c r="E108" i="1"/>
  <c r="I84" i="1"/>
  <c r="C144" i="1"/>
  <c r="N25" i="1"/>
  <c r="I104" i="1"/>
  <c r="C143" i="1"/>
  <c r="C84" i="1"/>
  <c r="E74" i="1"/>
  <c r="G143" i="1"/>
  <c r="N20" i="1"/>
  <c r="E104" i="1"/>
  <c r="K22" i="1"/>
  <c r="N92" i="1"/>
  <c r="N91" i="1"/>
  <c r="C104" i="1"/>
  <c r="K109" i="1"/>
  <c r="K106" i="1"/>
  <c r="N106" i="1" s="1"/>
  <c r="N57" i="1"/>
  <c r="N23" i="1"/>
  <c r="N79" i="1"/>
  <c r="N113" i="1"/>
  <c r="E15" i="1"/>
  <c r="N90" i="1"/>
  <c r="C129" i="1"/>
  <c r="N52" i="1"/>
  <c r="I18" i="1"/>
  <c r="N110" i="1"/>
  <c r="E143" i="1"/>
  <c r="N131" i="1"/>
  <c r="N130" i="1"/>
  <c r="N95" i="1"/>
  <c r="N120" i="1"/>
  <c r="N64" i="1"/>
  <c r="N80" i="1"/>
  <c r="N76" i="1"/>
  <c r="I100" i="1"/>
  <c r="E100" i="1"/>
  <c r="E18" i="1"/>
  <c r="C18" i="1"/>
  <c r="N116" i="1"/>
  <c r="N53" i="1"/>
  <c r="N114" i="1"/>
  <c r="K97" i="1"/>
  <c r="N97" i="1" s="1"/>
  <c r="B143" i="1"/>
  <c r="N31" i="1"/>
  <c r="N16" i="1"/>
  <c r="N17" i="1"/>
  <c r="D143" i="1"/>
  <c r="B144" i="1"/>
  <c r="C118" i="1"/>
  <c r="D74" i="1"/>
  <c r="H143" i="1"/>
  <c r="F143" i="1"/>
  <c r="K53" i="1"/>
  <c r="H144" i="1"/>
  <c r="C40" i="1"/>
  <c r="D144" i="1"/>
  <c r="F144" i="1"/>
  <c r="J97" i="1"/>
  <c r="H74" i="1"/>
  <c r="J121" i="1"/>
  <c r="K122" i="1"/>
  <c r="N122" i="1" s="1"/>
  <c r="K112" i="1"/>
  <c r="J81" i="1"/>
  <c r="K82" i="1"/>
  <c r="N82" i="1" s="1"/>
  <c r="J50" i="1"/>
  <c r="K51" i="1"/>
  <c r="J78" i="1"/>
  <c r="J88" i="1"/>
  <c r="C37" i="1"/>
  <c r="N37" i="1" s="1"/>
  <c r="J62" i="1"/>
  <c r="K63" i="1"/>
  <c r="N63" i="1" s="1"/>
  <c r="J71" i="1"/>
  <c r="K72" i="1"/>
  <c r="N72" i="1" s="1"/>
  <c r="J56" i="1"/>
  <c r="C68" i="1"/>
  <c r="F74" i="1"/>
  <c r="N133" i="1"/>
  <c r="J94" i="1"/>
  <c r="K96" i="1"/>
  <c r="N96" i="1" s="1"/>
  <c r="J65" i="1"/>
  <c r="K66" i="1"/>
  <c r="J91" i="1"/>
  <c r="C71" i="1"/>
  <c r="J118" i="1"/>
  <c r="K119" i="1"/>
  <c r="N119" i="1" s="1"/>
  <c r="J53" i="1"/>
  <c r="J75" i="1"/>
  <c r="K89" i="1"/>
  <c r="J85" i="1"/>
  <c r="J59" i="1"/>
  <c r="K60" i="1"/>
  <c r="J68" i="1"/>
  <c r="K69" i="1"/>
  <c r="K47" i="1"/>
  <c r="J46" i="1"/>
  <c r="K78" i="1"/>
  <c r="N78" i="1" s="1"/>
  <c r="E84" i="1"/>
  <c r="G84" i="1"/>
  <c r="C46" i="1"/>
  <c r="C28" i="1"/>
  <c r="N28" i="1" s="1"/>
  <c r="C43" i="1"/>
  <c r="N43" i="1" s="1"/>
  <c r="G74" i="1"/>
  <c r="C34" i="1"/>
  <c r="N34" i="1" s="1"/>
  <c r="J22" i="1"/>
  <c r="J40" i="1"/>
  <c r="K41" i="1"/>
  <c r="J86" i="1"/>
  <c r="J102" i="1" s="1"/>
  <c r="H84" i="1"/>
  <c r="F84" i="1"/>
  <c r="D84" i="1"/>
  <c r="B84" i="1"/>
  <c r="B22" i="1"/>
  <c r="B18" i="1"/>
  <c r="J76" i="1"/>
  <c r="J112" i="1"/>
  <c r="B104" i="1"/>
  <c r="D104" i="1"/>
  <c r="J115" i="1"/>
  <c r="I108" i="1"/>
  <c r="C112" i="1"/>
  <c r="C115" i="1"/>
  <c r="N115" i="1" s="1"/>
  <c r="F104" i="1"/>
  <c r="H104" i="1"/>
  <c r="F108" i="1"/>
  <c r="H108" i="1"/>
  <c r="J109" i="1"/>
  <c r="J105" i="1" s="1"/>
  <c r="B108" i="1"/>
  <c r="B100" i="1"/>
  <c r="J110" i="1"/>
  <c r="J106" i="1" s="1"/>
  <c r="D100" i="1"/>
  <c r="D108" i="1"/>
  <c r="H100" i="1"/>
  <c r="G100" i="1"/>
  <c r="F100" i="1"/>
  <c r="E139" i="1"/>
  <c r="C139" i="1"/>
  <c r="N112" i="1" l="1"/>
  <c r="C142" i="1"/>
  <c r="K105" i="1"/>
  <c r="K104" i="1" s="1"/>
  <c r="N104" i="1" s="1"/>
  <c r="K85" i="1"/>
  <c r="K101" i="1" s="1"/>
  <c r="N101" i="1" s="1"/>
  <c r="K88" i="1"/>
  <c r="N89" i="1"/>
  <c r="N88" i="1" s="1"/>
  <c r="K40" i="1"/>
  <c r="N40" i="1" s="1"/>
  <c r="N41" i="1"/>
  <c r="K46" i="1"/>
  <c r="N46" i="1" s="1"/>
  <c r="K50" i="1"/>
  <c r="N50" i="1" s="1"/>
  <c r="K75" i="1"/>
  <c r="K74" i="1" s="1"/>
  <c r="K71" i="1"/>
  <c r="N71" i="1" s="1"/>
  <c r="K62" i="1"/>
  <c r="N62" i="1" s="1"/>
  <c r="K59" i="1"/>
  <c r="N59" i="1" s="1"/>
  <c r="N60" i="1"/>
  <c r="K118" i="1"/>
  <c r="N118" i="1" s="1"/>
  <c r="K86" i="1"/>
  <c r="K19" i="1"/>
  <c r="K68" i="1"/>
  <c r="N68" i="1" s="1"/>
  <c r="N69" i="1"/>
  <c r="K108" i="1"/>
  <c r="K94" i="1"/>
  <c r="N94" i="1" s="1"/>
  <c r="B142" i="1"/>
  <c r="K81" i="1"/>
  <c r="N81" i="1" s="1"/>
  <c r="H142" i="1"/>
  <c r="J144" i="1"/>
  <c r="K65" i="1"/>
  <c r="N65" i="1" s="1"/>
  <c r="N66" i="1"/>
  <c r="N51" i="1"/>
  <c r="F142" i="1"/>
  <c r="N129" i="1"/>
  <c r="N47" i="1"/>
  <c r="K121" i="1"/>
  <c r="N121" i="1" s="1"/>
  <c r="N109" i="1"/>
  <c r="J74" i="1"/>
  <c r="C74" i="1"/>
  <c r="C22" i="1"/>
  <c r="N22" i="1" s="1"/>
  <c r="J108" i="1"/>
  <c r="J101" i="1"/>
  <c r="J143" i="1" s="1"/>
  <c r="J84" i="1"/>
  <c r="D142" i="1"/>
  <c r="J104" i="1"/>
  <c r="C108" i="1"/>
  <c r="N105" i="1" l="1"/>
  <c r="N19" i="1"/>
  <c r="N18" i="1" s="1"/>
  <c r="N85" i="1"/>
  <c r="N86" i="1"/>
  <c r="K102" i="1"/>
  <c r="K84" i="1"/>
  <c r="N84" i="1" s="1"/>
  <c r="N108" i="1"/>
  <c r="N75" i="1"/>
  <c r="K18" i="1"/>
  <c r="J100" i="1"/>
  <c r="J142" i="1"/>
  <c r="C100" i="1"/>
  <c r="K139" i="1"/>
  <c r="N139" i="1" s="1"/>
  <c r="K100" i="1" l="1"/>
  <c r="N100" i="1" s="1"/>
  <c r="N102" i="1"/>
  <c r="N74" i="1"/>
  <c r="P123" i="1"/>
  <c r="P122" i="1"/>
  <c r="Q15" i="2" l="1"/>
  <c r="R13" i="2"/>
  <c r="R11" i="2"/>
  <c r="P6" i="2"/>
  <c r="P5" i="2"/>
  <c r="P4" i="2"/>
  <c r="P48" i="1" l="1"/>
  <c r="P47" i="1"/>
  <c r="P117" i="1" l="1"/>
  <c r="P99" i="1"/>
  <c r="P98" i="1"/>
  <c r="P127" i="1"/>
  <c r="P126" i="1"/>
  <c r="P120" i="1"/>
  <c r="P119" i="1"/>
  <c r="P116" i="1"/>
  <c r="P114" i="1"/>
  <c r="P113" i="1"/>
  <c r="P90" i="1"/>
  <c r="P89" i="1"/>
  <c r="P88" i="1" s="1"/>
  <c r="P80" i="1"/>
  <c r="P79" i="1"/>
  <c r="P73" i="1"/>
  <c r="P72" i="1"/>
  <c r="P93" i="1"/>
  <c r="P92" i="1"/>
  <c r="P83" i="1"/>
  <c r="P67" i="1"/>
  <c r="P66" i="1"/>
  <c r="P54" i="1"/>
  <c r="P29" i="1"/>
  <c r="P36" i="1"/>
  <c r="P35" i="1"/>
  <c r="P27" i="1"/>
  <c r="P26" i="1"/>
  <c r="P24" i="1"/>
  <c r="P23" i="1"/>
  <c r="P17" i="1"/>
  <c r="P16" i="1"/>
  <c r="P135" i="1"/>
  <c r="P131" i="1" s="1"/>
  <c r="P134" i="1"/>
  <c r="P64" i="1"/>
  <c r="P63" i="1"/>
  <c r="P61" i="1"/>
  <c r="P60" i="1"/>
  <c r="P52" i="1"/>
  <c r="P51" i="1"/>
  <c r="P45" i="1"/>
  <c r="P44" i="1"/>
  <c r="P42" i="1"/>
  <c r="P41" i="1"/>
  <c r="P39" i="1"/>
  <c r="P38" i="1"/>
  <c r="P19" i="1" l="1"/>
  <c r="P50" i="1"/>
  <c r="P25" i="1"/>
  <c r="P75" i="1"/>
  <c r="P70" i="1"/>
  <c r="P76" i="1"/>
  <c r="P33" i="1"/>
  <c r="P96" i="1"/>
  <c r="P82" i="1"/>
  <c r="P32" i="1"/>
  <c r="P95" i="1"/>
  <c r="P69" i="1"/>
  <c r="P55" i="1"/>
  <c r="P30" i="1"/>
  <c r="P31" i="1" l="1"/>
  <c r="P20" i="1" l="1"/>
  <c r="P18" i="1" s="1"/>
  <c r="R4" i="2"/>
  <c r="R6" i="2"/>
  <c r="R5" i="2"/>
  <c r="J15" i="1"/>
  <c r="H15" i="1"/>
  <c r="F15" i="1"/>
  <c r="D15" i="1"/>
  <c r="B15" i="1"/>
  <c r="J125" i="1"/>
  <c r="H125" i="1"/>
  <c r="F125" i="1"/>
  <c r="D125" i="1"/>
  <c r="B125" i="1"/>
  <c r="R15" i="2" l="1"/>
  <c r="R16" i="2"/>
  <c r="R3" i="2"/>
  <c r="R7" i="2" s="1"/>
  <c r="R8" i="2" s="1"/>
  <c r="P3" i="2"/>
  <c r="P7" i="2" s="1"/>
  <c r="P8" i="2" s="1"/>
  <c r="K126" i="1"/>
  <c r="K143" i="1" s="1"/>
  <c r="I126" i="1"/>
  <c r="I143" i="1" s="1"/>
  <c r="E127" i="1"/>
  <c r="G127" i="1"/>
  <c r="G144" i="1" s="1"/>
  <c r="G142" i="1" s="1"/>
  <c r="K127" i="1"/>
  <c r="K144" i="1" s="1"/>
  <c r="I127" i="1"/>
  <c r="I144" i="1" s="1"/>
  <c r="P109" i="1"/>
  <c r="P105" i="1" s="1"/>
  <c r="P85" i="1"/>
  <c r="P86" i="1"/>
  <c r="P106" i="1"/>
  <c r="P110" i="1"/>
  <c r="K142" i="1" l="1"/>
  <c r="E144" i="1"/>
  <c r="N144" i="1" s="1"/>
  <c r="I142" i="1"/>
  <c r="N126" i="1"/>
  <c r="N143" i="1" s="1"/>
  <c r="N127" i="1"/>
  <c r="X15" i="2"/>
  <c r="T16" i="2"/>
  <c r="T7" i="2"/>
  <c r="X16" i="2"/>
  <c r="T8" i="2"/>
  <c r="N15" i="1"/>
  <c r="P102" i="1"/>
  <c r="P101" i="1"/>
  <c r="P143" i="1" s="1"/>
  <c r="E125" i="1"/>
  <c r="G15" i="1"/>
  <c r="I125" i="1"/>
  <c r="G125" i="1"/>
  <c r="C15" i="1"/>
  <c r="K125" i="1"/>
  <c r="E142" i="1" l="1"/>
  <c r="N142" i="1" s="1"/>
  <c r="N125" i="1"/>
  <c r="Z17" i="2"/>
  <c r="X17" i="2"/>
</calcChain>
</file>

<file path=xl/sharedStrings.xml><?xml version="1.0" encoding="utf-8"?>
<sst xmlns="http://schemas.openxmlformats.org/spreadsheetml/2006/main" count="286" uniqueCount="112">
  <si>
    <t>Наименование объектов</t>
  </si>
  <si>
    <t>Электроэнергия</t>
  </si>
  <si>
    <t>Отопление</t>
  </si>
  <si>
    <t xml:space="preserve">ГВС                 </t>
  </si>
  <si>
    <t>Холодная вода</t>
  </si>
  <si>
    <t>Водоотведение</t>
  </si>
  <si>
    <t>Гкал.</t>
  </si>
  <si>
    <t>тыс.</t>
  </si>
  <si>
    <t>руб.</t>
  </si>
  <si>
    <t>куб. м.</t>
  </si>
  <si>
    <t>МУНИЦИПАЛЬНОЕ УПРАВЛЕНИЕ</t>
  </si>
  <si>
    <t>I полугодие</t>
  </si>
  <si>
    <t>II полугодие</t>
  </si>
  <si>
    <t>ВСЕГО:</t>
  </si>
  <si>
    <t>ОБРАЗОВАНИЕ</t>
  </si>
  <si>
    <t>в том числе:</t>
  </si>
  <si>
    <t>КУЛЬТУРА</t>
  </si>
  <si>
    <t>МБУК «Дом культуры Хасынского городского округа»</t>
  </si>
  <si>
    <t>СРЕДСТВА МАССОВОЙ ИНФОРМАЦИИ</t>
  </si>
  <si>
    <t>ПРОЧИЕ</t>
  </si>
  <si>
    <t>п. Стекольный</t>
  </si>
  <si>
    <t>п. Атка</t>
  </si>
  <si>
    <t>п. Талая</t>
  </si>
  <si>
    <t>МБУК «Хасынская централизованная библиотечная система»</t>
  </si>
  <si>
    <t>Итого, тыс. руб.</t>
  </si>
  <si>
    <t>кВт/час</t>
  </si>
  <si>
    <t>п. Палатка</t>
  </si>
  <si>
    <t>1 полугодие</t>
  </si>
  <si>
    <t>ВСЕГО ПО ОКРУГУ:</t>
  </si>
  <si>
    <t>№ п/п</t>
  </si>
  <si>
    <t>Наименование показателя</t>
  </si>
  <si>
    <t>Населенный пункт</t>
  </si>
  <si>
    <t>1.</t>
  </si>
  <si>
    <t>Тепловая энергия</t>
  </si>
  <si>
    <t>с. Хасын</t>
  </si>
  <si>
    <t>1 полугодие (без НДС)</t>
  </si>
  <si>
    <t>2 полугодие (без НДС)</t>
  </si>
  <si>
    <t>1 полугодие (с НДС)</t>
  </si>
  <si>
    <t>2 полугодие (с НДС)</t>
  </si>
  <si>
    <t>2.</t>
  </si>
  <si>
    <t>Водоснабжение (Холодная вода)</t>
  </si>
  <si>
    <t>3.</t>
  </si>
  <si>
    <t>Водоотведение (Вывоз ЖБО)</t>
  </si>
  <si>
    <t>4.</t>
  </si>
  <si>
    <t>Электроснабжение (ДЭС)</t>
  </si>
  <si>
    <t>тыс.      руб.</t>
  </si>
  <si>
    <t>Комитет жизнеобеспечения территории Администрации Хасынского городского округа                                 (уличное освещение)</t>
  </si>
  <si>
    <t>п. Палатка, с. Хасын,                     п. Стекольный</t>
  </si>
  <si>
    <t>Библиотека-филиал              п. Стекольный</t>
  </si>
  <si>
    <t>Библиотека-филиал              п. Талая</t>
  </si>
  <si>
    <t>Центральная библиотека                        п. Палатка</t>
  </si>
  <si>
    <t>СПОРТ</t>
  </si>
  <si>
    <t>прибавить фонтаны</t>
  </si>
  <si>
    <t>2 полугодие</t>
  </si>
  <si>
    <t>палатка</t>
  </si>
  <si>
    <t>Стекольный</t>
  </si>
  <si>
    <t>Талая</t>
  </si>
  <si>
    <t>Хасын</t>
  </si>
  <si>
    <t>тыс. руб.</t>
  </si>
  <si>
    <t>Фонтаны, водопад</t>
  </si>
  <si>
    <t>Палатка</t>
  </si>
  <si>
    <t>хасын</t>
  </si>
  <si>
    <t>атка</t>
  </si>
  <si>
    <t>талая</t>
  </si>
  <si>
    <t>год</t>
  </si>
  <si>
    <t xml:space="preserve">СТЕКОЛЬНЫЙ </t>
  </si>
  <si>
    <t xml:space="preserve">2 полугодие </t>
  </si>
  <si>
    <t xml:space="preserve">управляйка </t>
  </si>
  <si>
    <t>магаданэнерго</t>
  </si>
  <si>
    <t>стек.</t>
  </si>
  <si>
    <t>всего</t>
  </si>
  <si>
    <t>итого</t>
  </si>
  <si>
    <t>ИТОГ ГОД</t>
  </si>
  <si>
    <t>1 полуг</t>
  </si>
  <si>
    <t>2 полуг</t>
  </si>
  <si>
    <t>МБДОУ «Детский сад №1» п. Палатка</t>
  </si>
  <si>
    <t xml:space="preserve">МБДОУ детский сад «Светлячок»                          </t>
  </si>
  <si>
    <t>МБУ ДО «Хасынский Центр детского творчества»</t>
  </si>
  <si>
    <t xml:space="preserve">МАУ Редакция газеты                                  «Заря Севера»                                                 </t>
  </si>
  <si>
    <t>Здание Администрации Хасынского городского округа                                        (ул. Ленина, д. 76,                                    п. Палатка)</t>
  </si>
  <si>
    <t>Собрание представителей  ул. Центральная, д. 24,                          п. Палатка</t>
  </si>
  <si>
    <t>вывоз ТКО</t>
  </si>
  <si>
    <t>Вывоз ТКО</t>
  </si>
  <si>
    <t>Тарифы на 2024 год</t>
  </si>
  <si>
    <t>Комитет по управлению муниципальным имуществом Хасынского муниципального округа                                 (пустующий жилфонд)</t>
  </si>
  <si>
    <t xml:space="preserve">Лимиты потребления энергоресурсов и коммунальных услуг бюджетными организациями </t>
  </si>
  <si>
    <t>Хасынского муниципального округа Магаданской области в 2024 году</t>
  </si>
  <si>
    <t>Хасынского муниципального</t>
  </si>
  <si>
    <t>округа Магаданской области</t>
  </si>
  <si>
    <r>
      <t xml:space="preserve">от </t>
    </r>
    <r>
      <rPr>
        <b/>
        <sz val="14"/>
        <color indexed="8"/>
        <rFont val="Times New Roman"/>
        <family val="1"/>
        <charset val="204"/>
      </rPr>
      <t>_____________</t>
    </r>
    <r>
      <rPr>
        <sz val="14"/>
        <color indexed="8"/>
        <rFont val="Times New Roman"/>
        <family val="1"/>
        <charset val="204"/>
      </rPr>
      <t xml:space="preserve"> № _____</t>
    </r>
  </si>
  <si>
    <t xml:space="preserve">                                               Приложение № 1</t>
  </si>
  <si>
    <t xml:space="preserve">       к постановлению Администрации</t>
  </si>
  <si>
    <t>МКУ Централизованная бухгалтерия: ул. Ленина, д. 74, п. Палатка</t>
  </si>
  <si>
    <t>Территориальный отдел в п. Стекольный                    (ул. Советская, д. 5)</t>
  </si>
  <si>
    <t>Территориальный отдел в п. Талая                                                    (ул. Зеленая, д. 6)</t>
  </si>
  <si>
    <t>Отдел ЗАГС (ул. Космонавтов, д. 11,          п. Палатка)</t>
  </si>
  <si>
    <t>МБДОУ «Детский сад» п. Хасын</t>
  </si>
  <si>
    <t>Объект МБУ «Хасынская спортивная школа»    п. Хасын</t>
  </si>
  <si>
    <t>БАНЯ (ул. Пионерская, д. 24, п. Палатка)</t>
  </si>
  <si>
    <t>МКУ «Управление по обеспечению деятельности органов местного самоуправления Хасынского городского округа»</t>
  </si>
  <si>
    <t>МБУ «Хасынская  спортивная школа»</t>
  </si>
  <si>
    <t>МБУ «Хасынская спортивная школа» п. Палатка</t>
  </si>
  <si>
    <t>МКУ ФОК с плавательным бассейном  «Арбат»</t>
  </si>
  <si>
    <t>МКУ физкультурно-оздоровительный комплекс «Олимп»</t>
  </si>
  <si>
    <t>ГАРАЖИ                                  (п. Палатка:                            ул. Юбилейная, 21, 25, ул. Школьная, 5, ул. Юбилейная, 16, ул. Ленина,74, 76)</t>
  </si>
  <si>
    <t>МБУК «Дом культуры                              п. Стекольный»</t>
  </si>
  <si>
    <t>Пункт выдачи в            с. Хасын</t>
  </si>
  <si>
    <t>Здание МКУ                                         (ул. Юбилейная, д. 16, п. Палатка)</t>
  </si>
  <si>
    <t>МБОУ «Средняя общеобразовательная школа» п. Стекольный</t>
  </si>
  <si>
    <t>МБОУ «Средняя общеобразовательная школа № 2» п. Палатка</t>
  </si>
  <si>
    <t xml:space="preserve">МБОУ «Средняя общеобразовательная школа № 1» п. Палатка                          </t>
  </si>
  <si>
    <t>МБОУ «Средняя общеобразовательная школа» п. Талая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</si>
</sst>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9C6500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</font>
    <font>
      <sz val="14"/>
      <color theme="1"/>
      <name val="Times New Roman"/>
      <family val="1"/>
      <charset val="204"/>
    </font>
    <font>
      <b/>
      <sz val="14"/>
      <color rgb="FF9C6500"/>
      <name val="Times New Roman"/>
      <family val="1"/>
      <charset val="204"/>
    </font>
    <font>
      <sz val="14"/>
      <color rgb="FF9C65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2" borderId="0" applyNumberFormat="0" applyBorder="0" applyAlignment="0" applyProtection="0"/>
  </cellStyleXfs>
  <cellXfs count="106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0" fontId="5" fillId="0" borderId="0" xfId="0" applyFont="1"/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/>
    <xf numFmtId="0" fontId="3" fillId="3" borderId="3" xfId="0" applyFont="1" applyFill="1" applyBorder="1" applyAlignment="1">
      <alignment horizontal="center" vertical="center"/>
    </xf>
    <xf numFmtId="0" fontId="8" fillId="3" borderId="0" xfId="0" applyFont="1" applyFill="1" applyAlignment="1">
      <alignment vertical="center"/>
    </xf>
    <xf numFmtId="164" fontId="1" fillId="3" borderId="0" xfId="0" applyNumberFormat="1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8" fillId="4" borderId="23" xfId="0" applyFont="1" applyFill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3" borderId="34" xfId="0" applyFont="1" applyFill="1" applyBorder="1" applyAlignment="1">
      <alignment horizontal="center" vertical="center"/>
    </xf>
    <xf numFmtId="165" fontId="5" fillId="5" borderId="2" xfId="0" applyNumberFormat="1" applyFont="1" applyFill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/>
    </xf>
    <xf numFmtId="165" fontId="5" fillId="5" borderId="3" xfId="0" applyNumberFormat="1" applyFont="1" applyFill="1" applyBorder="1" applyAlignment="1">
      <alignment horizontal="center" vertical="center"/>
    </xf>
    <xf numFmtId="165" fontId="3" fillId="3" borderId="3" xfId="0" applyNumberFormat="1" applyFont="1" applyFill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5" fontId="5" fillId="5" borderId="21" xfId="0" applyNumberFormat="1" applyFont="1" applyFill="1" applyBorder="1" applyAlignment="1">
      <alignment horizontal="center" vertical="center"/>
    </xf>
    <xf numFmtId="165" fontId="5" fillId="3" borderId="19" xfId="0" applyNumberFormat="1" applyFont="1" applyFill="1" applyBorder="1" applyAlignment="1">
      <alignment horizontal="center" vertical="center"/>
    </xf>
    <xf numFmtId="165" fontId="5" fillId="3" borderId="31" xfId="0" applyNumberFormat="1" applyFont="1" applyFill="1" applyBorder="1" applyAlignment="1">
      <alignment horizontal="center" vertical="center"/>
    </xf>
    <xf numFmtId="165" fontId="3" fillId="3" borderId="29" xfId="0" applyNumberFormat="1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/>
    </xf>
    <xf numFmtId="165" fontId="5" fillId="5" borderId="20" xfId="0" applyNumberFormat="1" applyFont="1" applyFill="1" applyBorder="1" applyAlignment="1">
      <alignment horizontal="center" vertical="center"/>
    </xf>
    <xf numFmtId="165" fontId="5" fillId="5" borderId="32" xfId="0" applyNumberFormat="1" applyFont="1" applyFill="1" applyBorder="1" applyAlignment="1">
      <alignment horizontal="center" vertical="center"/>
    </xf>
    <xf numFmtId="165" fontId="3" fillId="3" borderId="24" xfId="0" applyNumberFormat="1" applyFont="1" applyFill="1" applyBorder="1" applyAlignment="1">
      <alignment horizontal="center" vertical="center"/>
    </xf>
    <xf numFmtId="165" fontId="3" fillId="3" borderId="2" xfId="0" applyNumberFormat="1" applyFont="1" applyFill="1" applyBorder="1" applyAlignment="1">
      <alignment horizontal="center" vertical="center"/>
    </xf>
    <xf numFmtId="165" fontId="9" fillId="5" borderId="20" xfId="0" applyNumberFormat="1" applyFont="1" applyFill="1" applyBorder="1" applyAlignment="1">
      <alignment horizontal="center" vertical="center"/>
    </xf>
    <xf numFmtId="165" fontId="8" fillId="4" borderId="24" xfId="0" applyNumberFormat="1" applyFont="1" applyFill="1" applyBorder="1" applyAlignment="1">
      <alignment horizontal="center" vertical="center"/>
    </xf>
    <xf numFmtId="165" fontId="8" fillId="4" borderId="2" xfId="0" applyNumberFormat="1" applyFont="1" applyFill="1" applyBorder="1" applyAlignment="1">
      <alignment horizontal="center" vertical="center"/>
    </xf>
    <xf numFmtId="165" fontId="9" fillId="5" borderId="33" xfId="0" applyNumberFormat="1" applyFont="1" applyFill="1" applyBorder="1" applyAlignment="1">
      <alignment horizontal="center" vertical="center"/>
    </xf>
    <xf numFmtId="165" fontId="8" fillId="4" borderId="30" xfId="0" applyNumberFormat="1" applyFont="1" applyFill="1" applyBorder="1" applyAlignment="1">
      <alignment horizontal="center" vertical="center"/>
    </xf>
    <xf numFmtId="165" fontId="8" fillId="4" borderId="8" xfId="0" applyNumberFormat="1" applyFont="1" applyFill="1" applyBorder="1" applyAlignment="1">
      <alignment horizontal="center" vertical="center"/>
    </xf>
    <xf numFmtId="165" fontId="5" fillId="0" borderId="19" xfId="0" applyNumberFormat="1" applyFont="1" applyBorder="1" applyAlignment="1">
      <alignment horizontal="center" vertical="center"/>
    </xf>
    <xf numFmtId="165" fontId="5" fillId="0" borderId="31" xfId="0" applyNumberFormat="1" applyFont="1" applyBorder="1" applyAlignment="1">
      <alignment horizontal="center" vertical="center"/>
    </xf>
    <xf numFmtId="165" fontId="3" fillId="0" borderId="29" xfId="0" applyNumberFormat="1" applyFont="1" applyBorder="1" applyAlignment="1">
      <alignment horizontal="center" vertical="center"/>
    </xf>
    <xf numFmtId="165" fontId="3" fillId="0" borderId="24" xfId="0" applyNumberFormat="1" applyFont="1" applyBorder="1" applyAlignment="1">
      <alignment horizontal="center" vertical="center"/>
    </xf>
    <xf numFmtId="165" fontId="5" fillId="5" borderId="13" xfId="0" applyNumberFormat="1" applyFont="1" applyFill="1" applyBorder="1" applyAlignment="1">
      <alignment horizontal="center" vertical="center"/>
    </xf>
    <xf numFmtId="165" fontId="3" fillId="3" borderId="35" xfId="0" applyNumberFormat="1" applyFont="1" applyFill="1" applyBorder="1" applyAlignment="1">
      <alignment horizontal="center" vertical="center"/>
    </xf>
    <xf numFmtId="165" fontId="3" fillId="0" borderId="31" xfId="0" applyNumberFormat="1" applyFont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" fillId="6" borderId="23" xfId="0" applyFont="1" applyFill="1" applyBorder="1" applyAlignment="1">
      <alignment horizontal="center" vertical="center"/>
    </xf>
    <xf numFmtId="0" fontId="3" fillId="6" borderId="34" xfId="0" applyFont="1" applyFill="1" applyBorder="1" applyAlignment="1">
      <alignment horizontal="center" vertical="center"/>
    </xf>
    <xf numFmtId="164" fontId="11" fillId="3" borderId="0" xfId="0" applyNumberFormat="1" applyFont="1" applyFill="1"/>
    <xf numFmtId="164" fontId="13" fillId="3" borderId="0" xfId="0" applyNumberFormat="1" applyFont="1" applyFill="1"/>
    <xf numFmtId="164" fontId="4" fillId="3" borderId="0" xfId="0" applyNumberFormat="1" applyFont="1" applyFill="1" applyAlignment="1">
      <alignment horizontal="center" vertical="center"/>
    </xf>
    <xf numFmtId="164" fontId="12" fillId="3" borderId="4" xfId="0" applyNumberFormat="1" applyFont="1" applyFill="1" applyBorder="1" applyAlignment="1">
      <alignment horizontal="center" vertical="center" wrapText="1"/>
    </xf>
    <xf numFmtId="164" fontId="12" fillId="3" borderId="5" xfId="0" applyNumberFormat="1" applyFont="1" applyFill="1" applyBorder="1" applyAlignment="1">
      <alignment horizontal="center" vertical="center" wrapText="1"/>
    </xf>
    <xf numFmtId="1" fontId="12" fillId="3" borderId="6" xfId="0" applyNumberFormat="1" applyFont="1" applyFill="1" applyBorder="1" applyAlignment="1">
      <alignment horizontal="center" vertical="center" wrapText="1"/>
    </xf>
    <xf numFmtId="1" fontId="12" fillId="3" borderId="7" xfId="0" applyNumberFormat="1" applyFont="1" applyFill="1" applyBorder="1" applyAlignment="1">
      <alignment horizontal="center" vertical="center" wrapText="1"/>
    </xf>
    <xf numFmtId="165" fontId="12" fillId="3" borderId="11" xfId="0" applyNumberFormat="1" applyFont="1" applyFill="1" applyBorder="1" applyAlignment="1">
      <alignment horizontal="center" vertical="center" wrapText="1"/>
    </xf>
    <xf numFmtId="165" fontId="12" fillId="3" borderId="5" xfId="0" applyNumberFormat="1" applyFont="1" applyFill="1" applyBorder="1" applyAlignment="1">
      <alignment horizontal="center" vertical="center" wrapText="1"/>
    </xf>
    <xf numFmtId="165" fontId="12" fillId="3" borderId="6" xfId="0" applyNumberFormat="1" applyFont="1" applyFill="1" applyBorder="1" applyAlignment="1">
      <alignment horizontal="center" vertical="center" wrapText="1"/>
    </xf>
    <xf numFmtId="164" fontId="12" fillId="3" borderId="25" xfId="0" applyNumberFormat="1" applyFont="1" applyFill="1" applyBorder="1" applyAlignment="1">
      <alignment horizontal="center" vertical="center" wrapText="1"/>
    </xf>
    <xf numFmtId="164" fontId="12" fillId="3" borderId="0" xfId="0" applyNumberFormat="1" applyFont="1" applyFill="1" applyAlignment="1">
      <alignment horizontal="center" vertical="center" wrapText="1"/>
    </xf>
    <xf numFmtId="164" fontId="12" fillId="3" borderId="6" xfId="0" applyNumberFormat="1" applyFont="1" applyFill="1" applyBorder="1" applyAlignment="1">
      <alignment horizontal="center" vertical="center" wrapText="1"/>
    </xf>
    <xf numFmtId="164" fontId="4" fillId="3" borderId="0" xfId="0" applyNumberFormat="1" applyFont="1" applyFill="1" applyAlignment="1">
      <alignment horizontal="center" vertical="center" wrapText="1"/>
    </xf>
    <xf numFmtId="164" fontId="14" fillId="3" borderId="0" xfId="0" applyNumberFormat="1" applyFont="1" applyFill="1"/>
    <xf numFmtId="165" fontId="12" fillId="3" borderId="7" xfId="0" applyNumberFormat="1" applyFont="1" applyFill="1" applyBorder="1" applyAlignment="1">
      <alignment horizontal="center" vertical="center" wrapText="1"/>
    </xf>
    <xf numFmtId="164" fontId="12" fillId="3" borderId="7" xfId="0" applyNumberFormat="1" applyFont="1" applyFill="1" applyBorder="1" applyAlignment="1">
      <alignment horizontal="center" vertical="center" wrapText="1"/>
    </xf>
    <xf numFmtId="164" fontId="12" fillId="3" borderId="15" xfId="0" applyNumberFormat="1" applyFont="1" applyFill="1" applyBorder="1" applyAlignment="1">
      <alignment horizontal="center" vertical="center" wrapText="1"/>
    </xf>
    <xf numFmtId="164" fontId="1" fillId="3" borderId="0" xfId="0" applyNumberFormat="1" applyFont="1" applyFill="1" applyAlignment="1">
      <alignment horizontal="center" vertical="center"/>
    </xf>
    <xf numFmtId="164" fontId="12" fillId="3" borderId="0" xfId="0" applyNumberFormat="1" applyFont="1" applyFill="1"/>
    <xf numFmtId="164" fontId="15" fillId="3" borderId="0" xfId="0" applyNumberFormat="1" applyFont="1" applyFill="1"/>
    <xf numFmtId="165" fontId="12" fillId="3" borderId="11" xfId="1" applyNumberFormat="1" applyFont="1" applyFill="1" applyBorder="1" applyAlignment="1">
      <alignment horizontal="center" vertical="center" wrapText="1"/>
    </xf>
    <xf numFmtId="164" fontId="16" fillId="3" borderId="0" xfId="1" applyNumberFormat="1" applyFont="1" applyFill="1"/>
    <xf numFmtId="164" fontId="17" fillId="3" borderId="0" xfId="1" applyNumberFormat="1" applyFont="1" applyFill="1"/>
    <xf numFmtId="164" fontId="1" fillId="3" borderId="0" xfId="0" applyNumberFormat="1" applyFont="1" applyFill="1" applyAlignment="1">
      <alignment vertical="center"/>
    </xf>
    <xf numFmtId="0" fontId="0" fillId="0" borderId="0" xfId="0" applyAlignment="1"/>
    <xf numFmtId="164" fontId="1" fillId="3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165" fontId="12" fillId="3" borderId="7" xfId="0" applyNumberFormat="1" applyFont="1" applyFill="1" applyBorder="1" applyAlignment="1">
      <alignment horizontal="center" vertical="center" wrapText="1"/>
    </xf>
    <xf numFmtId="165" fontId="12" fillId="3" borderId="15" xfId="0" applyNumberFormat="1" applyFont="1" applyFill="1" applyBorder="1" applyAlignment="1">
      <alignment horizontal="center" vertical="center" wrapText="1"/>
    </xf>
    <xf numFmtId="165" fontId="12" fillId="3" borderId="12" xfId="0" applyNumberFormat="1" applyFont="1" applyFill="1" applyBorder="1" applyAlignment="1">
      <alignment horizontal="center" vertical="center" wrapText="1"/>
    </xf>
    <xf numFmtId="164" fontId="12" fillId="3" borderId="14" xfId="0" applyNumberFormat="1" applyFont="1" applyFill="1" applyBorder="1" applyAlignment="1">
      <alignment horizontal="center" vertical="center" wrapText="1"/>
    </xf>
    <xf numFmtId="164" fontId="12" fillId="3" borderId="18" xfId="0" applyNumberFormat="1" applyFont="1" applyFill="1" applyBorder="1" applyAlignment="1">
      <alignment horizontal="center" vertical="center" wrapText="1"/>
    </xf>
    <xf numFmtId="164" fontId="12" fillId="3" borderId="11" xfId="0" applyNumberFormat="1" applyFont="1" applyFill="1" applyBorder="1" applyAlignment="1">
      <alignment horizontal="center" vertical="center" wrapText="1"/>
    </xf>
    <xf numFmtId="164" fontId="12" fillId="3" borderId="7" xfId="0" applyNumberFormat="1" applyFont="1" applyFill="1" applyBorder="1" applyAlignment="1">
      <alignment horizontal="center" vertical="center" wrapText="1"/>
    </xf>
    <xf numFmtId="164" fontId="12" fillId="3" borderId="15" xfId="0" applyNumberFormat="1" applyFont="1" applyFill="1" applyBorder="1" applyAlignment="1">
      <alignment horizontal="center" vertical="center" wrapText="1"/>
    </xf>
    <xf numFmtId="164" fontId="12" fillId="3" borderId="12" xfId="0" applyNumberFormat="1" applyFont="1" applyFill="1" applyBorder="1" applyAlignment="1">
      <alignment horizontal="center" vertical="center" wrapText="1"/>
    </xf>
    <xf numFmtId="164" fontId="12" fillId="3" borderId="16" xfId="0" applyNumberFormat="1" applyFont="1" applyFill="1" applyBorder="1" applyAlignment="1">
      <alignment horizontal="center" vertical="center" wrapText="1"/>
    </xf>
    <xf numFmtId="164" fontId="12" fillId="3" borderId="17" xfId="0" applyNumberFormat="1" applyFont="1" applyFill="1" applyBorder="1" applyAlignment="1">
      <alignment horizontal="center" vertical="center" wrapText="1"/>
    </xf>
    <xf numFmtId="164" fontId="13" fillId="3" borderId="18" xfId="0" applyNumberFormat="1" applyFont="1" applyFill="1" applyBorder="1" applyAlignment="1">
      <alignment horizontal="center" vertical="center" wrapText="1"/>
    </xf>
    <xf numFmtId="164" fontId="13" fillId="3" borderId="11" xfId="0" applyNumberFormat="1" applyFont="1" applyFill="1" applyBorder="1" applyAlignment="1">
      <alignment horizontal="center" vertical="center" wrapText="1"/>
    </xf>
    <xf numFmtId="164" fontId="12" fillId="3" borderId="0" xfId="0" applyNumberFormat="1" applyFont="1" applyFill="1" applyAlignment="1">
      <alignment horizontal="center" vertical="center"/>
    </xf>
    <xf numFmtId="164" fontId="12" fillId="3" borderId="25" xfId="0" applyNumberFormat="1" applyFont="1" applyFill="1" applyBorder="1" applyAlignment="1">
      <alignment horizontal="center"/>
    </xf>
    <xf numFmtId="0" fontId="3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2">
    <cellStyle name="Нейтральный" xfId="1" builtinId="2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48"/>
  <sheetViews>
    <sheetView tabSelected="1" zoomScale="118" zoomScaleNormal="118" workbookViewId="0">
      <pane xSplit="1" ySplit="13" topLeftCell="D35" activePane="bottomRight" state="frozen"/>
      <selection pane="topRight" activeCell="B1" sqref="B1"/>
      <selection pane="bottomLeft" activeCell="A6" sqref="A6"/>
      <selection pane="bottomRight" activeCell="A37" sqref="A37"/>
    </sheetView>
  </sheetViews>
  <sheetFormatPr defaultRowHeight="18.75" x14ac:dyDescent="0.3"/>
  <cols>
    <col min="1" max="1" width="28.140625" style="49" customWidth="1"/>
    <col min="2" max="2" width="9.85546875" style="49" bestFit="1" customWidth="1"/>
    <col min="3" max="3" width="11.28515625" style="49" bestFit="1" customWidth="1"/>
    <col min="4" max="4" width="9.85546875" style="49" bestFit="1" customWidth="1"/>
    <col min="5" max="5" width="12.7109375" style="49" bestFit="1" customWidth="1"/>
    <col min="6" max="6" width="9.85546875" style="49" bestFit="1" customWidth="1"/>
    <col min="7" max="8" width="11.28515625" style="49" bestFit="1" customWidth="1"/>
    <col min="9" max="9" width="9.85546875" style="49" bestFit="1" customWidth="1"/>
    <col min="10" max="10" width="11.28515625" style="49" bestFit="1" customWidth="1"/>
    <col min="11" max="11" width="9.85546875" style="49" bestFit="1" customWidth="1"/>
    <col min="12" max="12" width="9" style="49" customWidth="1"/>
    <col min="13" max="13" width="8.7109375" style="49" bestFit="1" customWidth="1"/>
    <col min="14" max="14" width="18.28515625" style="49" customWidth="1"/>
    <col min="15" max="15" width="26.5703125" style="49" hidden="1" customWidth="1"/>
    <col min="16" max="20" width="0" style="49" hidden="1" customWidth="1"/>
    <col min="21" max="21" width="9.7109375" style="49" customWidth="1"/>
    <col min="22" max="22" width="12.42578125" style="49" customWidth="1"/>
    <col min="23" max="23" width="9.140625" style="49"/>
    <col min="24" max="24" width="14" style="49" customWidth="1"/>
    <col min="25" max="25" width="25.7109375" style="49" customWidth="1"/>
    <col min="26" max="16384" width="9.140625" style="49"/>
  </cols>
  <sheetData>
    <row r="1" spans="1:21" ht="15.75" customHeight="1" x14ac:dyDescent="0.3">
      <c r="H1" s="75" t="s">
        <v>90</v>
      </c>
      <c r="I1" s="75"/>
      <c r="J1" s="75"/>
      <c r="K1" s="75"/>
      <c r="L1" s="75"/>
      <c r="M1" s="75"/>
      <c r="N1" s="75"/>
    </row>
    <row r="2" spans="1:21" ht="15.75" customHeight="1" x14ac:dyDescent="0.3">
      <c r="H2" s="67"/>
      <c r="I2" s="67"/>
      <c r="J2" s="67"/>
      <c r="K2" s="73" t="s">
        <v>91</v>
      </c>
      <c r="L2" s="74"/>
      <c r="M2" s="74"/>
      <c r="N2" s="74"/>
      <c r="O2" s="74"/>
      <c r="P2" s="74"/>
      <c r="Q2" s="74"/>
      <c r="R2" s="74"/>
      <c r="S2" s="74"/>
      <c r="T2" s="74"/>
      <c r="U2" s="74"/>
    </row>
    <row r="3" spans="1:21" ht="15.75" customHeight="1" x14ac:dyDescent="0.3">
      <c r="H3" s="67"/>
      <c r="I3" s="67"/>
      <c r="J3" s="67"/>
      <c r="K3" s="75" t="s">
        <v>87</v>
      </c>
      <c r="L3" s="76"/>
      <c r="M3" s="76"/>
      <c r="N3" s="76"/>
    </row>
    <row r="4" spans="1:21" ht="15.75" customHeight="1" x14ac:dyDescent="0.3">
      <c r="H4" s="67"/>
      <c r="I4" s="67"/>
      <c r="J4" s="67"/>
      <c r="K4" s="75" t="s">
        <v>88</v>
      </c>
      <c r="L4" s="76"/>
      <c r="M4" s="76"/>
      <c r="N4" s="76"/>
    </row>
    <row r="5" spans="1:21" ht="15.75" customHeight="1" x14ac:dyDescent="0.3">
      <c r="H5" s="67"/>
      <c r="I5" s="67"/>
      <c r="J5" s="67"/>
      <c r="K5" s="75" t="s">
        <v>89</v>
      </c>
      <c r="L5" s="76"/>
      <c r="M5" s="76"/>
      <c r="N5" s="76"/>
    </row>
    <row r="6" spans="1:21" ht="15.75" customHeight="1" x14ac:dyDescent="0.3">
      <c r="A6" s="90"/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</row>
    <row r="7" spans="1:21" ht="15.75" customHeight="1" x14ac:dyDescent="0.3">
      <c r="A7" s="90" t="s">
        <v>85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</row>
    <row r="8" spans="1:21" ht="15.75" customHeight="1" x14ac:dyDescent="0.3">
      <c r="A8" s="90" t="s">
        <v>86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</row>
    <row r="9" spans="1:21" ht="15" customHeight="1" thickBot="1" x14ac:dyDescent="0.35">
      <c r="A9" s="91"/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P9" s="10"/>
    </row>
    <row r="10" spans="1:21" ht="15" customHeight="1" thickBot="1" x14ac:dyDescent="0.35">
      <c r="A10" s="80" t="s">
        <v>0</v>
      </c>
      <c r="B10" s="83" t="s">
        <v>1</v>
      </c>
      <c r="C10" s="84"/>
      <c r="D10" s="83" t="s">
        <v>2</v>
      </c>
      <c r="E10" s="85"/>
      <c r="F10" s="83" t="s">
        <v>3</v>
      </c>
      <c r="G10" s="85"/>
      <c r="H10" s="83" t="s">
        <v>4</v>
      </c>
      <c r="I10" s="85"/>
      <c r="J10" s="83" t="s">
        <v>5</v>
      </c>
      <c r="K10" s="85"/>
      <c r="L10" s="83" t="s">
        <v>81</v>
      </c>
      <c r="M10" s="85"/>
      <c r="N10" s="80" t="s">
        <v>24</v>
      </c>
      <c r="O10" s="50"/>
      <c r="P10" s="51"/>
    </row>
    <row r="11" spans="1:21" ht="15" customHeight="1" x14ac:dyDescent="0.3">
      <c r="A11" s="81"/>
      <c r="B11" s="52" t="s">
        <v>7</v>
      </c>
      <c r="C11" s="86" t="s">
        <v>45</v>
      </c>
      <c r="D11" s="80" t="s">
        <v>6</v>
      </c>
      <c r="E11" s="52" t="s">
        <v>7</v>
      </c>
      <c r="F11" s="80" t="s">
        <v>6</v>
      </c>
      <c r="G11" s="52" t="s">
        <v>7</v>
      </c>
      <c r="H11" s="80" t="s">
        <v>9</v>
      </c>
      <c r="I11" s="52" t="s">
        <v>7</v>
      </c>
      <c r="J11" s="80" t="s">
        <v>9</v>
      </c>
      <c r="K11" s="52" t="s">
        <v>7</v>
      </c>
      <c r="L11" s="80" t="s">
        <v>9</v>
      </c>
      <c r="M11" s="80" t="s">
        <v>58</v>
      </c>
      <c r="N11" s="88"/>
      <c r="O11" s="50"/>
      <c r="P11" s="51"/>
    </row>
    <row r="12" spans="1:21" ht="15" customHeight="1" thickBot="1" x14ac:dyDescent="0.35">
      <c r="A12" s="82"/>
      <c r="B12" s="53" t="s">
        <v>25</v>
      </c>
      <c r="C12" s="87"/>
      <c r="D12" s="82"/>
      <c r="E12" s="53" t="s">
        <v>8</v>
      </c>
      <c r="F12" s="82"/>
      <c r="G12" s="53" t="s">
        <v>8</v>
      </c>
      <c r="H12" s="82"/>
      <c r="I12" s="53" t="s">
        <v>8</v>
      </c>
      <c r="J12" s="82"/>
      <c r="K12" s="53" t="s">
        <v>8</v>
      </c>
      <c r="L12" s="82"/>
      <c r="M12" s="82"/>
      <c r="N12" s="89"/>
      <c r="O12" s="50"/>
      <c r="P12" s="51"/>
    </row>
    <row r="13" spans="1:21" ht="15" customHeight="1" thickBot="1" x14ac:dyDescent="0.35">
      <c r="A13" s="50"/>
      <c r="B13" s="54">
        <v>2</v>
      </c>
      <c r="C13" s="55">
        <v>3</v>
      </c>
      <c r="D13" s="54">
        <v>4</v>
      </c>
      <c r="E13" s="54">
        <v>5</v>
      </c>
      <c r="F13" s="54">
        <v>6</v>
      </c>
      <c r="G13" s="54">
        <v>7</v>
      </c>
      <c r="H13" s="54">
        <v>8</v>
      </c>
      <c r="I13" s="54">
        <v>9</v>
      </c>
      <c r="J13" s="54">
        <v>10</v>
      </c>
      <c r="K13" s="54">
        <v>11</v>
      </c>
      <c r="L13" s="54">
        <v>12</v>
      </c>
      <c r="M13" s="54">
        <v>13</v>
      </c>
      <c r="N13" s="54">
        <v>14</v>
      </c>
      <c r="O13" s="50"/>
      <c r="P13" s="51"/>
    </row>
    <row r="14" spans="1:21" ht="28.5" customHeight="1" thickBot="1" x14ac:dyDescent="0.35">
      <c r="A14" s="83" t="s">
        <v>10</v>
      </c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5"/>
      <c r="O14" s="50"/>
      <c r="P14" s="50"/>
    </row>
    <row r="15" spans="1:21" s="69" customFormat="1" ht="94.5" thickBot="1" x14ac:dyDescent="0.35">
      <c r="A15" s="56" t="s">
        <v>92</v>
      </c>
      <c r="B15" s="57">
        <f>SUM(B16:B17)</f>
        <v>0</v>
      </c>
      <c r="C15" s="58">
        <f>SUM(C16:C17)</f>
        <v>0</v>
      </c>
      <c r="D15" s="57">
        <f t="shared" ref="D15:J15" si="0">SUM(D16:D17)</f>
        <v>23</v>
      </c>
      <c r="E15" s="57">
        <f>SUM(E16:E17)</f>
        <v>237.25228799999996</v>
      </c>
      <c r="F15" s="57">
        <f t="shared" si="0"/>
        <v>0</v>
      </c>
      <c r="G15" s="57">
        <f t="shared" si="0"/>
        <v>0</v>
      </c>
      <c r="H15" s="57">
        <f t="shared" si="0"/>
        <v>35.6</v>
      </c>
      <c r="I15" s="57">
        <f>SUM(I16:I17)</f>
        <v>2.5183440000000004</v>
      </c>
      <c r="J15" s="57">
        <f t="shared" si="0"/>
        <v>35.6</v>
      </c>
      <c r="K15" s="57">
        <f>SUM(K16:K17)+0.1</f>
        <v>4.6411360000000004</v>
      </c>
      <c r="L15" s="57">
        <v>0</v>
      </c>
      <c r="M15" s="57">
        <v>0</v>
      </c>
      <c r="N15" s="57">
        <f>SUM(C15,E15,G15,I15,K15)+M15</f>
        <v>244.41176799999997</v>
      </c>
      <c r="O15" s="68"/>
      <c r="P15" s="68"/>
    </row>
    <row r="16" spans="1:21" s="69" customFormat="1" ht="19.5" thickBot="1" x14ac:dyDescent="0.35">
      <c r="A16" s="56" t="s">
        <v>11</v>
      </c>
      <c r="B16" s="57">
        <v>0</v>
      </c>
      <c r="C16" s="58">
        <f>B16*8.14</f>
        <v>0</v>
      </c>
      <c r="D16" s="57">
        <v>12.3</v>
      </c>
      <c r="E16" s="57">
        <f>D16*ТАРИФЫ!F5/1000</f>
        <v>122.475528</v>
      </c>
      <c r="F16" s="57">
        <v>0</v>
      </c>
      <c r="G16" s="57">
        <v>0</v>
      </c>
      <c r="H16" s="57">
        <v>17.8</v>
      </c>
      <c r="I16" s="57">
        <f>H16*ТАРИФЫ!F10/1000</f>
        <v>0.93343200000000015</v>
      </c>
      <c r="J16" s="57">
        <v>17.8</v>
      </c>
      <c r="K16" s="57">
        <f>J16*ТАРИФЫ!F15/1000</f>
        <v>1.8519120000000002</v>
      </c>
      <c r="L16" s="57">
        <v>0</v>
      </c>
      <c r="M16" s="57">
        <v>0</v>
      </c>
      <c r="N16" s="57">
        <f t="shared" ref="N16:N78" si="1">SUM(C16,E16,G16,I16,K16)+M16</f>
        <v>125.26087199999999</v>
      </c>
      <c r="O16" s="68" t="s">
        <v>54</v>
      </c>
      <c r="P16" s="68">
        <f>H16-J16</f>
        <v>0</v>
      </c>
    </row>
    <row r="17" spans="1:20" s="69" customFormat="1" ht="19.5" thickBot="1" x14ac:dyDescent="0.35">
      <c r="A17" s="56" t="s">
        <v>12</v>
      </c>
      <c r="B17" s="57">
        <v>0</v>
      </c>
      <c r="C17" s="58">
        <f>B17*8.14</f>
        <v>0</v>
      </c>
      <c r="D17" s="57">
        <v>10.7</v>
      </c>
      <c r="E17" s="57">
        <f>D17*ТАРИФЫ!G5/1000</f>
        <v>114.77675999999998</v>
      </c>
      <c r="F17" s="57">
        <v>0</v>
      </c>
      <c r="G17" s="57">
        <v>0</v>
      </c>
      <c r="H17" s="57">
        <v>17.8</v>
      </c>
      <c r="I17" s="57">
        <f>H17*ТАРИФЫ!G10/1000</f>
        <v>1.5849120000000003</v>
      </c>
      <c r="J17" s="57">
        <v>17.8</v>
      </c>
      <c r="K17" s="57">
        <f>J17*ТАРИФЫ!G15/1000</f>
        <v>2.6892240000000003</v>
      </c>
      <c r="L17" s="57">
        <v>0</v>
      </c>
      <c r="M17" s="57">
        <v>0</v>
      </c>
      <c r="N17" s="57">
        <f t="shared" si="1"/>
        <v>119.05089599999998</v>
      </c>
      <c r="O17" s="68" t="s">
        <v>54</v>
      </c>
      <c r="P17" s="68">
        <f>H17-J17</f>
        <v>0</v>
      </c>
    </row>
    <row r="18" spans="1:20" s="69" customFormat="1" ht="132" thickBot="1" x14ac:dyDescent="0.35">
      <c r="A18" s="56" t="s">
        <v>99</v>
      </c>
      <c r="B18" s="57">
        <f>B19+B20</f>
        <v>232.7</v>
      </c>
      <c r="C18" s="57">
        <f t="shared" ref="C18:T18" si="2">C19+C20</f>
        <v>2066.1759999999999</v>
      </c>
      <c r="D18" s="57">
        <f t="shared" si="2"/>
        <v>1008.8000000000001</v>
      </c>
      <c r="E18" s="57">
        <f>E19+E20+0.1</f>
        <v>11639.338055999999</v>
      </c>
      <c r="F18" s="57">
        <f t="shared" si="2"/>
        <v>28.700000000000003</v>
      </c>
      <c r="G18" s="57">
        <f>G19+G20</f>
        <v>295.802008</v>
      </c>
      <c r="H18" s="57">
        <f t="shared" si="2"/>
        <v>2352.2999999999997</v>
      </c>
      <c r="I18" s="57">
        <f>I19+I20</f>
        <v>163.190696</v>
      </c>
      <c r="J18" s="57">
        <f t="shared" si="2"/>
        <v>2353.5</v>
      </c>
      <c r="K18" s="57">
        <f t="shared" si="2"/>
        <v>300.25770784400004</v>
      </c>
      <c r="L18" s="57">
        <f t="shared" si="2"/>
        <v>0</v>
      </c>
      <c r="M18" s="57">
        <f>M19+M20</f>
        <v>56.7</v>
      </c>
      <c r="N18" s="57">
        <f>N19+N20</f>
        <v>14521.464467843998</v>
      </c>
      <c r="O18" s="57" t="e">
        <f t="shared" si="2"/>
        <v>#VALUE!</v>
      </c>
      <c r="P18" s="57">
        <f t="shared" si="2"/>
        <v>-1.1999999999999993</v>
      </c>
      <c r="Q18" s="57">
        <f t="shared" si="2"/>
        <v>0</v>
      </c>
      <c r="R18" s="57">
        <f t="shared" si="2"/>
        <v>0</v>
      </c>
      <c r="S18" s="57">
        <f t="shared" si="2"/>
        <v>0</v>
      </c>
      <c r="T18" s="57">
        <f t="shared" si="2"/>
        <v>0</v>
      </c>
    </row>
    <row r="19" spans="1:20" s="69" customFormat="1" ht="19.5" thickBot="1" x14ac:dyDescent="0.35">
      <c r="A19" s="56" t="s">
        <v>11</v>
      </c>
      <c r="B19" s="57">
        <f>B23+B26+B29+B32+B35+B38+B41+B44+B47</f>
        <v>129.10000000000002</v>
      </c>
      <c r="C19" s="57">
        <f>C23+C26+C29+C32+C35+C38+C41+C44+C47-0.1</f>
        <v>1146.308</v>
      </c>
      <c r="D19" s="57">
        <f t="shared" ref="D19:T19" si="3">D23+D26+D29+D32+D35+D38+D41+D44+D47</f>
        <v>598.70000000000005</v>
      </c>
      <c r="E19" s="57">
        <f>E23+E26+E29+E32+E35+E38+E41+E44+E47</f>
        <v>6613.8776640000006</v>
      </c>
      <c r="F19" s="57">
        <f t="shared" si="3"/>
        <v>15.8</v>
      </c>
      <c r="G19" s="57">
        <f>G23+G26+G29+G32+G35+G38+G41+G44+G47+0.1</f>
        <v>157.42628799999997</v>
      </c>
      <c r="H19" s="57">
        <f t="shared" si="3"/>
        <v>1145.1999999999998</v>
      </c>
      <c r="I19" s="57">
        <f>I23+I26+I29+I32+I35+I38+I41+I44+I47</f>
        <v>61.724196000000006</v>
      </c>
      <c r="J19" s="57">
        <f t="shared" si="3"/>
        <v>1146.4000000000001</v>
      </c>
      <c r="K19" s="57">
        <f>K23+K26+K29+K32+K35+K38+K41+K44+K47</f>
        <v>119.26477199999999</v>
      </c>
      <c r="L19" s="57">
        <f t="shared" si="3"/>
        <v>0</v>
      </c>
      <c r="M19" s="57">
        <f>M23+M26+M29+M32+M35+M38+M41+M44+M47</f>
        <v>27.8</v>
      </c>
      <c r="N19" s="57">
        <f>N23+N26+N29+N32+N35+N38+N41+N44+N47-0.1</f>
        <v>8126.4009199999982</v>
      </c>
      <c r="O19" s="57" t="e">
        <f t="shared" si="3"/>
        <v>#VALUE!</v>
      </c>
      <c r="P19" s="57">
        <f t="shared" si="3"/>
        <v>-1.1999999999999993</v>
      </c>
      <c r="Q19" s="57">
        <f t="shared" si="3"/>
        <v>0</v>
      </c>
      <c r="R19" s="57">
        <f t="shared" si="3"/>
        <v>0</v>
      </c>
      <c r="S19" s="57">
        <f t="shared" si="3"/>
        <v>0</v>
      </c>
      <c r="T19" s="57">
        <f t="shared" si="3"/>
        <v>0</v>
      </c>
    </row>
    <row r="20" spans="1:20" s="69" customFormat="1" ht="19.5" thickBot="1" x14ac:dyDescent="0.35">
      <c r="A20" s="56" t="s">
        <v>12</v>
      </c>
      <c r="B20" s="57">
        <f>B24+B27+B30+B33+B36+B39+B42+B45+B48</f>
        <v>103.59999999999998</v>
      </c>
      <c r="C20" s="57">
        <f>C24+C27+C30+C33+C36+C39+C42+C45+C48-0.1</f>
        <v>919.86800000000005</v>
      </c>
      <c r="D20" s="57">
        <f t="shared" ref="D20:L20" si="4">D24+D27+D30+D33+D36+D39+D42+D45+D48</f>
        <v>410.1</v>
      </c>
      <c r="E20" s="57">
        <f>E24+E27+E30+E33+E36+E39+E42+E45+E48-0.1</f>
        <v>5025.3603919999987</v>
      </c>
      <c r="F20" s="57">
        <f t="shared" si="4"/>
        <v>12.9</v>
      </c>
      <c r="G20" s="57">
        <f>G24+G27+G30+G33+G36+G39+G42+G45+G48</f>
        <v>138.37572</v>
      </c>
      <c r="H20" s="57">
        <f t="shared" si="4"/>
        <v>1207.0999999999999</v>
      </c>
      <c r="I20" s="57">
        <f>I24+I27+I30+I33+I36+I39+I42+I45+I48-0.1</f>
        <v>101.46650000000001</v>
      </c>
      <c r="J20" s="57">
        <f t="shared" si="4"/>
        <v>1207.0999999999999</v>
      </c>
      <c r="K20" s="57">
        <f>K24+K27+K30+K33+K36+K39+K42+K45+K48-0.1</f>
        <v>180.99293584400002</v>
      </c>
      <c r="L20" s="57">
        <f t="shared" si="4"/>
        <v>0</v>
      </c>
      <c r="M20" s="57">
        <f>M24+M27+M30+M33+M36+M39+M42+M45+M48</f>
        <v>28.9</v>
      </c>
      <c r="N20" s="57">
        <f>N24+N27+N30+N33+N36+N39+N42+N45+N48</f>
        <v>6395.0635478439999</v>
      </c>
      <c r="O20" s="68"/>
      <c r="P20" s="68">
        <f>H20-J20</f>
        <v>0</v>
      </c>
    </row>
    <row r="21" spans="1:20" s="69" customFormat="1" ht="19.5" thickBot="1" x14ac:dyDescent="0.35">
      <c r="A21" s="77" t="s">
        <v>15</v>
      </c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9"/>
      <c r="O21" s="68"/>
      <c r="P21" s="68"/>
    </row>
    <row r="22" spans="1:20" s="69" customFormat="1" ht="113.25" thickBot="1" x14ac:dyDescent="0.35">
      <c r="A22" s="56" t="s">
        <v>79</v>
      </c>
      <c r="B22" s="57">
        <f>B23+B24</f>
        <v>87.3</v>
      </c>
      <c r="C22" s="57">
        <f t="shared" ref="C22:M22" si="5">C23+C24</f>
        <v>775.22400000000005</v>
      </c>
      <c r="D22" s="57">
        <f t="shared" si="5"/>
        <v>310.5</v>
      </c>
      <c r="E22" s="57">
        <f>E23+E24+0.1</f>
        <v>3191.1180399999998</v>
      </c>
      <c r="F22" s="57">
        <f t="shared" si="5"/>
        <v>3.9</v>
      </c>
      <c r="G22" s="57">
        <f t="shared" si="5"/>
        <v>39.603143999999993</v>
      </c>
      <c r="H22" s="57">
        <f t="shared" si="5"/>
        <v>526.79999999999995</v>
      </c>
      <c r="I22" s="57">
        <f t="shared" si="5"/>
        <v>27.625392000000005</v>
      </c>
      <c r="J22" s="57">
        <f t="shared" si="5"/>
        <v>526.79999999999995</v>
      </c>
      <c r="K22" s="57">
        <f>K23+K24</f>
        <v>63.999887999999999</v>
      </c>
      <c r="L22" s="57">
        <f t="shared" si="5"/>
        <v>0</v>
      </c>
      <c r="M22" s="57">
        <f t="shared" si="5"/>
        <v>56.7</v>
      </c>
      <c r="N22" s="57">
        <f>SUM(C22,E22,G22,I22,K22)+M22-0.1</f>
        <v>4154.1704639999998</v>
      </c>
      <c r="O22" s="68"/>
      <c r="P22" s="68"/>
    </row>
    <row r="23" spans="1:20" s="69" customFormat="1" ht="19.5" thickBot="1" x14ac:dyDescent="0.35">
      <c r="A23" s="56" t="s">
        <v>11</v>
      </c>
      <c r="B23" s="57">
        <v>43</v>
      </c>
      <c r="C23" s="58">
        <f>B23*ТАРИФЫ!F21</f>
        <v>381.84000000000003</v>
      </c>
      <c r="D23" s="57">
        <v>181.5</v>
      </c>
      <c r="E23" s="57">
        <f>D23*ТАРИФЫ!F5/1000</f>
        <v>1807.2608399999999</v>
      </c>
      <c r="F23" s="57">
        <v>2.9</v>
      </c>
      <c r="G23" s="57">
        <f>F23*ТАРИФЫ!F5/1000</f>
        <v>28.876343999999996</v>
      </c>
      <c r="H23" s="57">
        <v>331.4</v>
      </c>
      <c r="I23" s="57">
        <f>H23*ТАРИФЫ!F10/1000</f>
        <v>17.378616000000001</v>
      </c>
      <c r="J23" s="57">
        <f>H23</f>
        <v>331.4</v>
      </c>
      <c r="K23" s="57">
        <f>J23*ТАРИФЫ!F15/1000</f>
        <v>34.478856</v>
      </c>
      <c r="L23" s="57">
        <v>0</v>
      </c>
      <c r="M23" s="57">
        <v>27.8</v>
      </c>
      <c r="N23" s="57">
        <f>SUM(C23,E23,G23,I23,K23)+M23+0.1</f>
        <v>2297.7346560000001</v>
      </c>
      <c r="O23" s="68" t="s">
        <v>54</v>
      </c>
      <c r="P23" s="68">
        <f>H23-J23</f>
        <v>0</v>
      </c>
    </row>
    <row r="24" spans="1:20" s="69" customFormat="1" ht="19.5" thickBot="1" x14ac:dyDescent="0.35">
      <c r="A24" s="56" t="s">
        <v>12</v>
      </c>
      <c r="B24" s="57">
        <v>44.3</v>
      </c>
      <c r="C24" s="58">
        <f>B24*ТАРИФЫ!F21</f>
        <v>393.38400000000001</v>
      </c>
      <c r="D24" s="57">
        <v>129</v>
      </c>
      <c r="E24" s="57">
        <f>D24*ТАРИФЫ!G5/1000</f>
        <v>1383.7572</v>
      </c>
      <c r="F24" s="57">
        <v>1</v>
      </c>
      <c r="G24" s="57">
        <f>F24*ТАРИФЫ!G5/1000</f>
        <v>10.726799999999999</v>
      </c>
      <c r="H24" s="57">
        <v>195.4</v>
      </c>
      <c r="I24" s="57">
        <f>H24*ТАРИФЫ!F10/1000</f>
        <v>10.246776000000002</v>
      </c>
      <c r="J24" s="57">
        <v>195.4</v>
      </c>
      <c r="K24" s="57">
        <f>J24*ТАРИФЫ!G15/1000</f>
        <v>29.521032000000002</v>
      </c>
      <c r="L24" s="57">
        <v>0</v>
      </c>
      <c r="M24" s="57">
        <v>28.9</v>
      </c>
      <c r="N24" s="57">
        <f>SUM(C24,E24,G24,I24,K24)+M24-0.1</f>
        <v>1856.4358080000002</v>
      </c>
      <c r="O24" s="68" t="s">
        <v>54</v>
      </c>
      <c r="P24" s="68">
        <f>H24-J24</f>
        <v>0</v>
      </c>
    </row>
    <row r="25" spans="1:20" s="69" customFormat="1" ht="75.75" thickBot="1" x14ac:dyDescent="0.35">
      <c r="A25" s="56" t="s">
        <v>80</v>
      </c>
      <c r="B25" s="57">
        <f>B26+B27</f>
        <v>2.2999999999999998</v>
      </c>
      <c r="C25" s="57">
        <f>C26+C27</f>
        <v>20.423999999999999</v>
      </c>
      <c r="D25" s="57">
        <f t="shared" ref="D25:T25" si="6">D26+D27</f>
        <v>66</v>
      </c>
      <c r="E25" s="57">
        <f t="shared" si="6"/>
        <v>678.26841599999989</v>
      </c>
      <c r="F25" s="57">
        <f t="shared" si="6"/>
        <v>1.8</v>
      </c>
      <c r="G25" s="57">
        <f>G26+G27+0.1</f>
        <v>18.715744000000001</v>
      </c>
      <c r="H25" s="57">
        <f t="shared" si="6"/>
        <v>61</v>
      </c>
      <c r="I25" s="57">
        <f t="shared" si="6"/>
        <v>4.3188000000000004</v>
      </c>
      <c r="J25" s="57">
        <f t="shared" si="6"/>
        <v>61</v>
      </c>
      <c r="K25" s="57">
        <f t="shared" si="6"/>
        <v>7.785864000000001</v>
      </c>
      <c r="L25" s="57">
        <v>0</v>
      </c>
      <c r="M25" s="57">
        <v>0</v>
      </c>
      <c r="N25" s="57">
        <f>SUM(C25,E25,G25,I25,K25)+M25</f>
        <v>729.5128239999998</v>
      </c>
      <c r="O25" s="53" t="e">
        <f t="shared" si="6"/>
        <v>#VALUE!</v>
      </c>
      <c r="P25" s="53">
        <f t="shared" si="6"/>
        <v>0</v>
      </c>
      <c r="Q25" s="53">
        <f t="shared" si="6"/>
        <v>0</v>
      </c>
      <c r="R25" s="53">
        <f t="shared" si="6"/>
        <v>0</v>
      </c>
      <c r="S25" s="53">
        <f t="shared" si="6"/>
        <v>0</v>
      </c>
      <c r="T25" s="53">
        <f t="shared" si="6"/>
        <v>0</v>
      </c>
    </row>
    <row r="26" spans="1:20" s="69" customFormat="1" ht="19.5" thickBot="1" x14ac:dyDescent="0.35">
      <c r="A26" s="56" t="s">
        <v>11</v>
      </c>
      <c r="B26" s="57">
        <v>1.5</v>
      </c>
      <c r="C26" s="58">
        <f>B26*ТАРИФЫ!F21</f>
        <v>13.32</v>
      </c>
      <c r="D26" s="57">
        <v>38.6</v>
      </c>
      <c r="E26" s="57">
        <f>D26*ТАРИФЫ!F5/1000</f>
        <v>384.35409599999997</v>
      </c>
      <c r="F26" s="57">
        <v>0.9</v>
      </c>
      <c r="G26" s="57">
        <f>F26*ТАРИФЫ!F5/1000</f>
        <v>8.9616240000000005</v>
      </c>
      <c r="H26" s="57">
        <v>30.4</v>
      </c>
      <c r="I26" s="57">
        <f>H26*ТАРИФЫ!F10/1000</f>
        <v>1.5941760000000003</v>
      </c>
      <c r="J26" s="57">
        <v>30.4</v>
      </c>
      <c r="K26" s="57">
        <f>J26*ТАРИФЫ!F15/1000</f>
        <v>3.1628160000000003</v>
      </c>
      <c r="L26" s="57">
        <v>0</v>
      </c>
      <c r="M26" s="57">
        <v>0</v>
      </c>
      <c r="N26" s="57">
        <f>SUM(C26,E26,G26,I26,K26)+M26+0.1</f>
        <v>411.49271200000004</v>
      </c>
      <c r="O26" s="68" t="s">
        <v>54</v>
      </c>
      <c r="P26" s="68">
        <f t="shared" ref="P26:P33" si="7">H26-J26</f>
        <v>0</v>
      </c>
    </row>
    <row r="27" spans="1:20" s="69" customFormat="1" ht="19.5" thickBot="1" x14ac:dyDescent="0.35">
      <c r="A27" s="56" t="s">
        <v>12</v>
      </c>
      <c r="B27" s="57">
        <v>0.8</v>
      </c>
      <c r="C27" s="58">
        <f>B27*ТАРИФЫ!F21</f>
        <v>7.104000000000001</v>
      </c>
      <c r="D27" s="57">
        <v>27.4</v>
      </c>
      <c r="E27" s="57">
        <f>D27*ТАРИФЫ!G5/1000</f>
        <v>293.91431999999998</v>
      </c>
      <c r="F27" s="57">
        <v>0.9</v>
      </c>
      <c r="G27" s="57">
        <f>F27*ТАРИФЫ!G5/1000</f>
        <v>9.6541199999999989</v>
      </c>
      <c r="H27" s="57">
        <v>30.6</v>
      </c>
      <c r="I27" s="57">
        <f>H27*ТАРИФЫ!G10/1000</f>
        <v>2.7246240000000004</v>
      </c>
      <c r="J27" s="57">
        <v>30.6</v>
      </c>
      <c r="K27" s="57">
        <f>J27*ТАРИФЫ!G15/1000</f>
        <v>4.6230480000000007</v>
      </c>
      <c r="L27" s="57">
        <v>0</v>
      </c>
      <c r="M27" s="57">
        <v>0</v>
      </c>
      <c r="N27" s="57">
        <f t="shared" si="1"/>
        <v>318.02011199999993</v>
      </c>
      <c r="O27" s="68" t="s">
        <v>54</v>
      </c>
      <c r="P27" s="68">
        <f t="shared" si="7"/>
        <v>0</v>
      </c>
    </row>
    <row r="28" spans="1:20" s="69" customFormat="1" ht="75.75" thickBot="1" x14ac:dyDescent="0.35">
      <c r="A28" s="56" t="s">
        <v>93</v>
      </c>
      <c r="B28" s="57">
        <f>B29+B30</f>
        <v>3.4</v>
      </c>
      <c r="C28" s="57">
        <f t="shared" ref="C28:K28" si="8">C29+C30</f>
        <v>30.192</v>
      </c>
      <c r="D28" s="57">
        <f t="shared" si="8"/>
        <v>117.2</v>
      </c>
      <c r="E28" s="57">
        <f>E29+E30</f>
        <v>1945.328544</v>
      </c>
      <c r="F28" s="57">
        <f t="shared" si="8"/>
        <v>0</v>
      </c>
      <c r="G28" s="57">
        <f t="shared" si="8"/>
        <v>0</v>
      </c>
      <c r="H28" s="57">
        <f t="shared" si="8"/>
        <v>30.700000000000003</v>
      </c>
      <c r="I28" s="57">
        <f t="shared" si="8"/>
        <v>4.4422199999999998</v>
      </c>
      <c r="J28" s="57">
        <f t="shared" si="8"/>
        <v>30.700000000000003</v>
      </c>
      <c r="K28" s="57">
        <f t="shared" si="8"/>
        <v>4.3055758439999998</v>
      </c>
      <c r="L28" s="57">
        <v>0</v>
      </c>
      <c r="M28" s="57">
        <v>0</v>
      </c>
      <c r="N28" s="57">
        <f>SUM(C28,E28,G28,I28,K28)+M28-0.1</f>
        <v>1984.168339844</v>
      </c>
      <c r="O28" s="68"/>
      <c r="P28" s="68"/>
    </row>
    <row r="29" spans="1:20" s="69" customFormat="1" ht="19.5" thickBot="1" x14ac:dyDescent="0.35">
      <c r="A29" s="56" t="s">
        <v>11</v>
      </c>
      <c r="B29" s="57">
        <v>1.5</v>
      </c>
      <c r="C29" s="58">
        <f>B29*ТАРИФЫ!F21</f>
        <v>13.32</v>
      </c>
      <c r="D29" s="57">
        <v>74</v>
      </c>
      <c r="E29" s="57">
        <f>D29*ТАРИФЫ!F8/1000</f>
        <v>1125.0072</v>
      </c>
      <c r="F29" s="57">
        <v>0</v>
      </c>
      <c r="G29" s="58">
        <v>0</v>
      </c>
      <c r="H29" s="57">
        <v>16.600000000000001</v>
      </c>
      <c r="I29" s="57">
        <f>H29*ТАРИФЫ!F13/1000</f>
        <v>2.139408</v>
      </c>
      <c r="J29" s="57">
        <v>16.600000000000001</v>
      </c>
      <c r="K29" s="57">
        <f>J29*ТАРИФЫ!F19/1000</f>
        <v>2.2768560000000004</v>
      </c>
      <c r="L29" s="57">
        <v>0</v>
      </c>
      <c r="M29" s="57">
        <v>0</v>
      </c>
      <c r="N29" s="57">
        <f>SUM(C29,E29,G29,I29,K29)+M29</f>
        <v>1142.7434639999999</v>
      </c>
      <c r="O29" s="68" t="s">
        <v>55</v>
      </c>
      <c r="P29" s="68">
        <f t="shared" si="7"/>
        <v>0</v>
      </c>
    </row>
    <row r="30" spans="1:20" s="69" customFormat="1" ht="19.5" thickBot="1" x14ac:dyDescent="0.35">
      <c r="A30" s="56" t="s">
        <v>12</v>
      </c>
      <c r="B30" s="57">
        <v>1.9</v>
      </c>
      <c r="C30" s="58">
        <f>B30*ТАРИФЫ!F21</f>
        <v>16.872</v>
      </c>
      <c r="D30" s="57">
        <v>43.2</v>
      </c>
      <c r="E30" s="57">
        <f>D30*ТАРИФЫ!G8/1000</f>
        <v>820.32134399999995</v>
      </c>
      <c r="F30" s="57">
        <v>0</v>
      </c>
      <c r="G30" s="58">
        <v>0</v>
      </c>
      <c r="H30" s="57">
        <v>14.1</v>
      </c>
      <c r="I30" s="57">
        <f>H30*ТАРИФЫ!G13/1000</f>
        <v>2.3028119999999999</v>
      </c>
      <c r="J30" s="57">
        <v>14.1</v>
      </c>
      <c r="K30" s="57">
        <f>J30*ТАРИФЫ!G19/1000</f>
        <v>2.0287198439999998</v>
      </c>
      <c r="L30" s="57">
        <v>0</v>
      </c>
      <c r="M30" s="57">
        <v>0</v>
      </c>
      <c r="N30" s="57">
        <f>SUM(C30,E30,G30,I30,K30)+M30</f>
        <v>841.52487584399989</v>
      </c>
      <c r="O30" s="68" t="s">
        <v>55</v>
      </c>
      <c r="P30" s="68">
        <f t="shared" si="7"/>
        <v>0</v>
      </c>
    </row>
    <row r="31" spans="1:20" s="69" customFormat="1" ht="57" thickBot="1" x14ac:dyDescent="0.35">
      <c r="A31" s="56" t="s">
        <v>94</v>
      </c>
      <c r="B31" s="57">
        <f>B32+B33</f>
        <v>6.8</v>
      </c>
      <c r="C31" s="57">
        <f>C32+C33-0.1</f>
        <v>60.283999999999999</v>
      </c>
      <c r="D31" s="57">
        <f t="shared" ref="D31:T31" si="9">D32+D33</f>
        <v>41.9</v>
      </c>
      <c r="E31" s="57">
        <f>E32+E33-0.1</f>
        <v>964.45227199999988</v>
      </c>
      <c r="F31" s="57">
        <f t="shared" si="9"/>
        <v>0</v>
      </c>
      <c r="G31" s="57">
        <f t="shared" si="9"/>
        <v>0</v>
      </c>
      <c r="H31" s="57">
        <f t="shared" si="9"/>
        <v>15.5</v>
      </c>
      <c r="I31" s="57">
        <f t="shared" si="9"/>
        <v>1.6825920000000001</v>
      </c>
      <c r="J31" s="57">
        <f t="shared" si="9"/>
        <v>15.5</v>
      </c>
      <c r="K31" s="57">
        <f>K32+K33+0.1</f>
        <v>0.63721599999999989</v>
      </c>
      <c r="L31" s="57">
        <v>0</v>
      </c>
      <c r="M31" s="57">
        <v>0</v>
      </c>
      <c r="N31" s="57">
        <f>SUM(C31,E31,G31,I31,K31)+M31</f>
        <v>1027.0560800000001</v>
      </c>
      <c r="O31" s="53" t="e">
        <f t="shared" si="9"/>
        <v>#VALUE!</v>
      </c>
      <c r="P31" s="53">
        <f t="shared" si="9"/>
        <v>0</v>
      </c>
      <c r="Q31" s="53">
        <f t="shared" si="9"/>
        <v>0</v>
      </c>
      <c r="R31" s="53">
        <f t="shared" si="9"/>
        <v>0</v>
      </c>
      <c r="S31" s="53">
        <f t="shared" si="9"/>
        <v>0</v>
      </c>
      <c r="T31" s="53">
        <f t="shared" si="9"/>
        <v>0</v>
      </c>
    </row>
    <row r="32" spans="1:20" s="69" customFormat="1" ht="19.5" thickBot="1" x14ac:dyDescent="0.35">
      <c r="A32" s="56" t="s">
        <v>11</v>
      </c>
      <c r="B32" s="57">
        <v>3.8</v>
      </c>
      <c r="C32" s="58">
        <f>B32*ТАРИФЫ!F21</f>
        <v>33.744</v>
      </c>
      <c r="D32" s="57">
        <v>24.2</v>
      </c>
      <c r="E32" s="57">
        <f>D32*ТАРИФЫ!F6/1000</f>
        <v>505.21178399999991</v>
      </c>
      <c r="F32" s="57">
        <v>0</v>
      </c>
      <c r="G32" s="57">
        <v>0</v>
      </c>
      <c r="H32" s="57">
        <v>7.9</v>
      </c>
      <c r="I32" s="57">
        <f>H32*ТАРИФЫ!F11/1000</f>
        <v>0.81528000000000012</v>
      </c>
      <c r="J32" s="57">
        <v>7.9</v>
      </c>
      <c r="K32" s="57">
        <f>J32*ТАРИФЫ!F16/1000</f>
        <v>0.26544000000000001</v>
      </c>
      <c r="L32" s="57">
        <v>0</v>
      </c>
      <c r="M32" s="57">
        <v>0</v>
      </c>
      <c r="N32" s="57">
        <f>SUM(C32,E32,G32,I32,K32)+M32</f>
        <v>540.03650399999992</v>
      </c>
      <c r="O32" s="68" t="s">
        <v>56</v>
      </c>
      <c r="P32" s="68">
        <f t="shared" si="7"/>
        <v>0</v>
      </c>
    </row>
    <row r="33" spans="1:16" s="69" customFormat="1" ht="19.5" thickBot="1" x14ac:dyDescent="0.35">
      <c r="A33" s="56" t="s">
        <v>12</v>
      </c>
      <c r="B33" s="57">
        <v>3</v>
      </c>
      <c r="C33" s="58">
        <f>B33*ТАРИФЫ!F21</f>
        <v>26.64</v>
      </c>
      <c r="D33" s="57">
        <v>17.7</v>
      </c>
      <c r="E33" s="57">
        <f>D33*ТАРИФЫ!G6/1000</f>
        <v>459.34048799999994</v>
      </c>
      <c r="F33" s="57">
        <v>0</v>
      </c>
      <c r="G33" s="57">
        <v>0</v>
      </c>
      <c r="H33" s="57">
        <v>7.6</v>
      </c>
      <c r="I33" s="57">
        <f>H33*ТАРИФЫ!G11/1000</f>
        <v>0.86731199999999986</v>
      </c>
      <c r="J33" s="57">
        <v>7.6</v>
      </c>
      <c r="K33" s="57">
        <f>J33*ТАРИФЫ!G16/1000</f>
        <v>0.27177599999999996</v>
      </c>
      <c r="L33" s="57">
        <v>0</v>
      </c>
      <c r="M33" s="57">
        <v>0</v>
      </c>
      <c r="N33" s="57">
        <f>SUM(C33,E33,G33,I33,K33)+M33</f>
        <v>487.11957599999994</v>
      </c>
      <c r="O33" s="68" t="s">
        <v>56</v>
      </c>
      <c r="P33" s="68">
        <f t="shared" si="7"/>
        <v>0</v>
      </c>
    </row>
    <row r="34" spans="1:16" s="69" customFormat="1" ht="57" thickBot="1" x14ac:dyDescent="0.35">
      <c r="A34" s="56" t="s">
        <v>95</v>
      </c>
      <c r="B34" s="57">
        <f>B35+B36</f>
        <v>2.2999999999999998</v>
      </c>
      <c r="C34" s="57">
        <f t="shared" ref="C34:J34" si="10">C35+C36</f>
        <v>20.424000000000003</v>
      </c>
      <c r="D34" s="57">
        <f t="shared" si="10"/>
        <v>34.200000000000003</v>
      </c>
      <c r="E34" s="57">
        <f>E35+E36-0.1</f>
        <v>351.05998399999999</v>
      </c>
      <c r="F34" s="57">
        <f t="shared" si="10"/>
        <v>0.2</v>
      </c>
      <c r="G34" s="57">
        <f t="shared" si="10"/>
        <v>2.068416</v>
      </c>
      <c r="H34" s="57">
        <f t="shared" si="10"/>
        <v>10.7</v>
      </c>
      <c r="I34" s="57">
        <f>I35+I36</f>
        <v>0.736788</v>
      </c>
      <c r="J34" s="57">
        <f t="shared" si="10"/>
        <v>11.899999999999999</v>
      </c>
      <c r="K34" s="57">
        <f>K35+K36-0.1</f>
        <v>1.0660759999999998</v>
      </c>
      <c r="L34" s="57">
        <v>0</v>
      </c>
      <c r="M34" s="57">
        <v>0</v>
      </c>
      <c r="N34" s="57">
        <f t="shared" si="1"/>
        <v>375.35526399999998</v>
      </c>
      <c r="O34" s="68"/>
      <c r="P34" s="68"/>
    </row>
    <row r="35" spans="1:16" s="69" customFormat="1" ht="19.5" thickBot="1" x14ac:dyDescent="0.35">
      <c r="A35" s="56" t="s">
        <v>11</v>
      </c>
      <c r="B35" s="57">
        <v>1</v>
      </c>
      <c r="C35" s="58">
        <f>B35*ТАРИФЫ!F21</f>
        <v>8.8800000000000008</v>
      </c>
      <c r="D35" s="57">
        <v>20.399999999999999</v>
      </c>
      <c r="E35" s="57">
        <f>D35*ТАРИФЫ!F5/1000</f>
        <v>203.13014399999997</v>
      </c>
      <c r="F35" s="57">
        <v>0.1</v>
      </c>
      <c r="G35" s="57">
        <f>F35*ТАРИФЫ!F5/1000</f>
        <v>0.99573599999999984</v>
      </c>
      <c r="H35" s="57">
        <v>5.9</v>
      </c>
      <c r="I35" s="57">
        <f>H35*ТАРИФЫ!F10/1000</f>
        <v>0.30939600000000006</v>
      </c>
      <c r="J35" s="57">
        <v>7.1</v>
      </c>
      <c r="K35" s="57">
        <f>J35*ТАРИФЫ!F15/1000</f>
        <v>0.73868400000000001</v>
      </c>
      <c r="L35" s="57">
        <v>0</v>
      </c>
      <c r="M35" s="57">
        <v>0</v>
      </c>
      <c r="N35" s="57">
        <f>SUM(C35,E35,G35,I35,K35)+M35-0.1</f>
        <v>213.95395999999997</v>
      </c>
      <c r="O35" s="68" t="s">
        <v>54</v>
      </c>
      <c r="P35" s="68">
        <f>H35-J35</f>
        <v>-1.1999999999999993</v>
      </c>
    </row>
    <row r="36" spans="1:16" s="69" customFormat="1" ht="19.5" thickBot="1" x14ac:dyDescent="0.35">
      <c r="A36" s="56" t="s">
        <v>12</v>
      </c>
      <c r="B36" s="57">
        <v>1.3</v>
      </c>
      <c r="C36" s="58">
        <f>B36*ТАРИФЫ!F21</f>
        <v>11.544000000000002</v>
      </c>
      <c r="D36" s="57">
        <v>13.8</v>
      </c>
      <c r="E36" s="57">
        <f>D36*ТАРИФЫ!G5/1000</f>
        <v>148.02984000000001</v>
      </c>
      <c r="F36" s="57">
        <v>0.1</v>
      </c>
      <c r="G36" s="57">
        <f>F36*ТАРИФЫ!G5/1000</f>
        <v>1.0726800000000001</v>
      </c>
      <c r="H36" s="57">
        <v>4.8</v>
      </c>
      <c r="I36" s="57">
        <f>H36*ТАРИФЫ!G10/1000</f>
        <v>0.42739199999999999</v>
      </c>
      <c r="J36" s="57">
        <v>4.8</v>
      </c>
      <c r="K36" s="57">
        <f>J36*ТАРИФЫ!G10/1000</f>
        <v>0.42739199999999999</v>
      </c>
      <c r="L36" s="57">
        <v>0</v>
      </c>
      <c r="M36" s="57">
        <v>0</v>
      </c>
      <c r="N36" s="57">
        <f>SUM(C36,E36,G36,I36,K36)+M36-0.1</f>
        <v>161.40130400000001</v>
      </c>
      <c r="O36" s="68" t="s">
        <v>54</v>
      </c>
      <c r="P36" s="68">
        <f>H36-J36</f>
        <v>0</v>
      </c>
    </row>
    <row r="37" spans="1:16" s="69" customFormat="1" ht="57" thickBot="1" x14ac:dyDescent="0.35">
      <c r="A37" s="56" t="s">
        <v>98</v>
      </c>
      <c r="B37" s="57">
        <f>B38+B39</f>
        <v>27.4</v>
      </c>
      <c r="C37" s="57">
        <f t="shared" ref="C37:J37" si="11">C38+C39</f>
        <v>243.31200000000001</v>
      </c>
      <c r="D37" s="57">
        <f t="shared" si="11"/>
        <v>61.2</v>
      </c>
      <c r="E37" s="57">
        <f t="shared" si="11"/>
        <v>629.16503999999986</v>
      </c>
      <c r="F37" s="57">
        <f t="shared" si="11"/>
        <v>22.8</v>
      </c>
      <c r="G37" s="57">
        <f>G38+G39</f>
        <v>235.41470399999997</v>
      </c>
      <c r="H37" s="57">
        <f t="shared" si="11"/>
        <v>647.79999999999995</v>
      </c>
      <c r="I37" s="57">
        <f>I38+I39</f>
        <v>45.528912000000005</v>
      </c>
      <c r="J37" s="57">
        <f t="shared" si="11"/>
        <v>647.79999999999995</v>
      </c>
      <c r="K37" s="57">
        <f>K38+K39-0.1</f>
        <v>82.152344000000014</v>
      </c>
      <c r="L37" s="57">
        <v>0</v>
      </c>
      <c r="M37" s="57">
        <v>0</v>
      </c>
      <c r="N37" s="57">
        <f>SUM(C37,E37,G37,I37,K37)+M37</f>
        <v>1235.5729999999999</v>
      </c>
      <c r="O37" s="68"/>
      <c r="P37" s="68"/>
    </row>
    <row r="38" spans="1:16" s="69" customFormat="1" ht="19.5" thickBot="1" x14ac:dyDescent="0.35">
      <c r="A38" s="56" t="s">
        <v>11</v>
      </c>
      <c r="B38" s="57">
        <v>13.4</v>
      </c>
      <c r="C38" s="58">
        <f>B38*ТАРИФЫ!F21</f>
        <v>118.99200000000002</v>
      </c>
      <c r="D38" s="57">
        <v>35.5</v>
      </c>
      <c r="E38" s="57">
        <f>D38*ТАРИФЫ!F5/1000</f>
        <v>353.48627999999997</v>
      </c>
      <c r="F38" s="57">
        <v>11.9</v>
      </c>
      <c r="G38" s="57">
        <f>F38*ТАРИФЫ!F5/1000</f>
        <v>118.49258399999999</v>
      </c>
      <c r="H38" s="57">
        <v>332</v>
      </c>
      <c r="I38" s="57">
        <f>H38*ТАРИФЫ!F10/1000</f>
        <v>17.410080000000001</v>
      </c>
      <c r="J38" s="57">
        <v>332</v>
      </c>
      <c r="K38" s="57">
        <f>J38*ТАРИФЫ!F15/1000</f>
        <v>34.54128</v>
      </c>
      <c r="L38" s="57">
        <v>0</v>
      </c>
      <c r="M38" s="57">
        <v>0</v>
      </c>
      <c r="N38" s="57">
        <f>SUM(C38,E38,G38,I38,K38)+M38</f>
        <v>642.92222400000003</v>
      </c>
      <c r="O38" s="68" t="s">
        <v>54</v>
      </c>
      <c r="P38" s="68">
        <f>H38-J38</f>
        <v>0</v>
      </c>
    </row>
    <row r="39" spans="1:16" s="69" customFormat="1" ht="19.5" thickBot="1" x14ac:dyDescent="0.35">
      <c r="A39" s="56" t="s">
        <v>12</v>
      </c>
      <c r="B39" s="57">
        <v>14</v>
      </c>
      <c r="C39" s="58">
        <f>B39*ТАРИФЫ!F21</f>
        <v>124.32000000000001</v>
      </c>
      <c r="D39" s="57">
        <v>25.7</v>
      </c>
      <c r="E39" s="57">
        <f>D39*ТАРИФЫ!G5/1000</f>
        <v>275.67875999999995</v>
      </c>
      <c r="F39" s="57">
        <v>10.9</v>
      </c>
      <c r="G39" s="57">
        <f>F39*ТАРИФЫ!G5/1000</f>
        <v>116.92211999999999</v>
      </c>
      <c r="H39" s="57">
        <v>315.8</v>
      </c>
      <c r="I39" s="57">
        <f>H39*ТАРИФЫ!G10/1000</f>
        <v>28.118832000000001</v>
      </c>
      <c r="J39" s="57">
        <v>315.8</v>
      </c>
      <c r="K39" s="57">
        <f>J39*ТАРИФЫ!G15/1000</f>
        <v>47.711064000000007</v>
      </c>
      <c r="L39" s="57">
        <v>0</v>
      </c>
      <c r="M39" s="57">
        <v>0</v>
      </c>
      <c r="N39" s="57">
        <f>SUM(C39,E39,G39,I39,K39)+M39-0.1</f>
        <v>592.65077599999984</v>
      </c>
      <c r="O39" s="68" t="s">
        <v>54</v>
      </c>
      <c r="P39" s="68">
        <f>H39-J39</f>
        <v>0</v>
      </c>
    </row>
    <row r="40" spans="1:16" s="69" customFormat="1" ht="57" thickBot="1" x14ac:dyDescent="0.35">
      <c r="A40" s="56" t="s">
        <v>107</v>
      </c>
      <c r="B40" s="57">
        <f>B41+B42</f>
        <v>10.8</v>
      </c>
      <c r="C40" s="57">
        <f t="shared" ref="C40:J40" si="12">C41+C42</f>
        <v>95.904000000000011</v>
      </c>
      <c r="D40" s="57">
        <f t="shared" si="12"/>
        <v>228</v>
      </c>
      <c r="E40" s="57">
        <f t="shared" si="12"/>
        <v>2343.1440480000001</v>
      </c>
      <c r="F40" s="57">
        <f t="shared" si="12"/>
        <v>0</v>
      </c>
      <c r="G40" s="57">
        <f t="shared" si="12"/>
        <v>0</v>
      </c>
      <c r="H40" s="57">
        <f t="shared" si="12"/>
        <v>59.8</v>
      </c>
      <c r="I40" s="57">
        <f t="shared" si="12"/>
        <v>4.5559919999999998</v>
      </c>
      <c r="J40" s="57">
        <f t="shared" si="12"/>
        <v>59.8</v>
      </c>
      <c r="K40" s="57">
        <f>K41+K42+0.1</f>
        <v>8.146744</v>
      </c>
      <c r="L40" s="57">
        <v>0</v>
      </c>
      <c r="M40" s="57">
        <v>0</v>
      </c>
      <c r="N40" s="57">
        <f>SUM(C40,E40,G40,I40,K40)+M40-0.1</f>
        <v>2451.6507840000004</v>
      </c>
      <c r="O40" s="68"/>
      <c r="P40" s="68"/>
    </row>
    <row r="41" spans="1:16" s="69" customFormat="1" ht="19.5" thickBot="1" x14ac:dyDescent="0.35">
      <c r="A41" s="56" t="s">
        <v>11</v>
      </c>
      <c r="B41" s="57">
        <v>5.7</v>
      </c>
      <c r="C41" s="58">
        <f>B41*ТАРИФЫ!F21</f>
        <v>50.616000000000007</v>
      </c>
      <c r="D41" s="57">
        <v>133.30000000000001</v>
      </c>
      <c r="E41" s="57">
        <f>D41*ТАРИФЫ!F5/1000</f>
        <v>1327.316088</v>
      </c>
      <c r="F41" s="57">
        <v>0</v>
      </c>
      <c r="G41" s="57">
        <v>0</v>
      </c>
      <c r="H41" s="57">
        <v>21</v>
      </c>
      <c r="I41" s="57">
        <f>H41*ТАРИФЫ!F10/1000</f>
        <v>1.10124</v>
      </c>
      <c r="J41" s="57">
        <f>H41</f>
        <v>21</v>
      </c>
      <c r="K41" s="57">
        <f>J41*ТАРИФЫ!F15/1000</f>
        <v>2.1848400000000003</v>
      </c>
      <c r="L41" s="57">
        <v>0</v>
      </c>
      <c r="M41" s="57">
        <v>0</v>
      </c>
      <c r="N41" s="57">
        <f>SUM(C41,E41,G41,I41,K41)+M41</f>
        <v>1381.2181679999999</v>
      </c>
      <c r="O41" s="68" t="s">
        <v>54</v>
      </c>
      <c r="P41" s="68">
        <f>H41-J41</f>
        <v>0</v>
      </c>
    </row>
    <row r="42" spans="1:16" s="69" customFormat="1" ht="19.5" thickBot="1" x14ac:dyDescent="0.35">
      <c r="A42" s="56" t="s">
        <v>12</v>
      </c>
      <c r="B42" s="57">
        <v>5.0999999999999996</v>
      </c>
      <c r="C42" s="58">
        <f>B42*ТАРИФЫ!F21</f>
        <v>45.288000000000004</v>
      </c>
      <c r="D42" s="57">
        <v>94.7</v>
      </c>
      <c r="E42" s="57">
        <f>D42*ТАРИФЫ!G5/1000</f>
        <v>1015.82796</v>
      </c>
      <c r="F42" s="57">
        <v>0</v>
      </c>
      <c r="G42" s="57">
        <f>F42*ТАРИФЫ!G5/1000</f>
        <v>0</v>
      </c>
      <c r="H42" s="57">
        <v>38.799999999999997</v>
      </c>
      <c r="I42" s="57">
        <f>H42*ТАРИФЫ!G10/1000</f>
        <v>3.454752</v>
      </c>
      <c r="J42" s="57">
        <v>38.799999999999997</v>
      </c>
      <c r="K42" s="57">
        <f>J42*ТАРИФЫ!G15/1000</f>
        <v>5.8619040000000009</v>
      </c>
      <c r="L42" s="57">
        <v>0</v>
      </c>
      <c r="M42" s="57">
        <v>0</v>
      </c>
      <c r="N42" s="57">
        <f>SUM(C42,E42,G42,I42,K42)+M42+0.1</f>
        <v>1070.532616</v>
      </c>
      <c r="O42" s="68" t="s">
        <v>54</v>
      </c>
      <c r="P42" s="68">
        <f>H42-J42</f>
        <v>0</v>
      </c>
    </row>
    <row r="43" spans="1:16" s="69" customFormat="1" ht="113.25" thickBot="1" x14ac:dyDescent="0.35">
      <c r="A43" s="56" t="s">
        <v>104</v>
      </c>
      <c r="B43" s="57">
        <f>B44+B45</f>
        <v>92.4</v>
      </c>
      <c r="C43" s="57">
        <f t="shared" ref="C43:K43" si="13">C44+C45</f>
        <v>820.51200000000006</v>
      </c>
      <c r="D43" s="57">
        <f t="shared" si="13"/>
        <v>149.80000000000001</v>
      </c>
      <c r="E43" s="57">
        <f>E44+E45</f>
        <v>1536.701712</v>
      </c>
      <c r="F43" s="57">
        <f t="shared" si="13"/>
        <v>0</v>
      </c>
      <c r="G43" s="57">
        <f t="shared" si="13"/>
        <v>0</v>
      </c>
      <c r="H43" s="57">
        <f t="shared" si="13"/>
        <v>0</v>
      </c>
      <c r="I43" s="57">
        <f t="shared" si="13"/>
        <v>0</v>
      </c>
      <c r="J43" s="57">
        <f t="shared" si="13"/>
        <v>0</v>
      </c>
      <c r="K43" s="57">
        <f t="shared" si="13"/>
        <v>0</v>
      </c>
      <c r="L43" s="57">
        <v>0</v>
      </c>
      <c r="M43" s="57">
        <v>0</v>
      </c>
      <c r="N43" s="57">
        <f>SUM(C43,E43,G43,I43,K43)+M43</f>
        <v>2357.2137120000002</v>
      </c>
      <c r="O43" s="68"/>
      <c r="P43" s="68"/>
    </row>
    <row r="44" spans="1:16" s="69" customFormat="1" ht="19.5" thickBot="1" x14ac:dyDescent="0.35">
      <c r="A44" s="56" t="s">
        <v>11</v>
      </c>
      <c r="B44" s="57">
        <v>59.2</v>
      </c>
      <c r="C44" s="58">
        <f>B44*ТАРИФЫ!F21</f>
        <v>525.69600000000003</v>
      </c>
      <c r="D44" s="57">
        <v>91.2</v>
      </c>
      <c r="E44" s="57">
        <f>D44*ТАРИФЫ!F5/1000</f>
        <v>908.11123199999997</v>
      </c>
      <c r="F44" s="57">
        <v>0</v>
      </c>
      <c r="G44" s="57">
        <v>0</v>
      </c>
      <c r="H44" s="57">
        <v>0</v>
      </c>
      <c r="I44" s="57">
        <v>0</v>
      </c>
      <c r="J44" s="57">
        <v>0</v>
      </c>
      <c r="K44" s="57">
        <v>0</v>
      </c>
      <c r="L44" s="57">
        <v>0</v>
      </c>
      <c r="M44" s="57">
        <v>0</v>
      </c>
      <c r="N44" s="57">
        <f t="shared" si="1"/>
        <v>1433.8072320000001</v>
      </c>
      <c r="O44" s="68" t="s">
        <v>54</v>
      </c>
      <c r="P44" s="68">
        <f>H44-J44</f>
        <v>0</v>
      </c>
    </row>
    <row r="45" spans="1:16" s="69" customFormat="1" ht="19.5" thickBot="1" x14ac:dyDescent="0.35">
      <c r="A45" s="56" t="s">
        <v>12</v>
      </c>
      <c r="B45" s="57">
        <v>33.200000000000003</v>
      </c>
      <c r="C45" s="58">
        <f>B45*ТАРИФЫ!F21</f>
        <v>294.81600000000003</v>
      </c>
      <c r="D45" s="57">
        <v>58.6</v>
      </c>
      <c r="E45" s="57">
        <f>D45*ТАРИФЫ!G5/1000</f>
        <v>628.59047999999996</v>
      </c>
      <c r="F45" s="57">
        <v>0</v>
      </c>
      <c r="G45" s="57">
        <v>0</v>
      </c>
      <c r="H45" s="57">
        <v>0</v>
      </c>
      <c r="I45" s="57">
        <v>0</v>
      </c>
      <c r="J45" s="57">
        <v>0</v>
      </c>
      <c r="K45" s="57">
        <v>0</v>
      </c>
      <c r="L45" s="57">
        <v>0</v>
      </c>
      <c r="M45" s="57">
        <v>0</v>
      </c>
      <c r="N45" s="57">
        <f t="shared" si="1"/>
        <v>923.40647999999999</v>
      </c>
      <c r="O45" s="68" t="s">
        <v>54</v>
      </c>
      <c r="P45" s="68">
        <f>H45-J45</f>
        <v>0</v>
      </c>
    </row>
    <row r="46" spans="1:16" s="69" customFormat="1" ht="19.5" thickBot="1" x14ac:dyDescent="0.35">
      <c r="A46" s="56" t="s">
        <v>59</v>
      </c>
      <c r="B46" s="57">
        <f>B47+B48</f>
        <v>0</v>
      </c>
      <c r="C46" s="57">
        <f t="shared" ref="C46:I46" si="14">C47+C48</f>
        <v>0</v>
      </c>
      <c r="D46" s="57">
        <f t="shared" si="14"/>
        <v>0</v>
      </c>
      <c r="E46" s="57">
        <f t="shared" si="14"/>
        <v>0</v>
      </c>
      <c r="F46" s="57">
        <f t="shared" si="14"/>
        <v>0</v>
      </c>
      <c r="G46" s="57">
        <f t="shared" si="14"/>
        <v>0</v>
      </c>
      <c r="H46" s="57">
        <f t="shared" si="14"/>
        <v>1000</v>
      </c>
      <c r="I46" s="57">
        <f t="shared" si="14"/>
        <v>74.400000000000006</v>
      </c>
      <c r="J46" s="57">
        <f>J47+J48</f>
        <v>1000</v>
      </c>
      <c r="K46" s="57">
        <f>K47+K48-0.1</f>
        <v>132.16400000000002</v>
      </c>
      <c r="L46" s="57">
        <v>0</v>
      </c>
      <c r="M46" s="57">
        <v>0</v>
      </c>
      <c r="N46" s="57">
        <f>SUM(C46,E46,G46,I46,K46)+M46</f>
        <v>206.56400000000002</v>
      </c>
      <c r="O46" s="68"/>
      <c r="P46" s="68"/>
    </row>
    <row r="47" spans="1:16" s="69" customFormat="1" ht="19.5" thickBot="1" x14ac:dyDescent="0.35">
      <c r="A47" s="56" t="s">
        <v>11</v>
      </c>
      <c r="B47" s="57">
        <v>0</v>
      </c>
      <c r="C47" s="58">
        <v>0</v>
      </c>
      <c r="D47" s="57">
        <v>0</v>
      </c>
      <c r="E47" s="57">
        <v>0</v>
      </c>
      <c r="F47" s="57">
        <v>0</v>
      </c>
      <c r="G47" s="57">
        <v>0</v>
      </c>
      <c r="H47" s="57">
        <v>400</v>
      </c>
      <c r="I47" s="57">
        <f>H47*ТАРИФЫ!F10/1000</f>
        <v>20.976000000000003</v>
      </c>
      <c r="J47" s="57">
        <f>H47</f>
        <v>400</v>
      </c>
      <c r="K47" s="57">
        <f>J47*ТАРИФЫ!F15/1000</f>
        <v>41.616</v>
      </c>
      <c r="L47" s="57">
        <v>0</v>
      </c>
      <c r="M47" s="57">
        <v>0</v>
      </c>
      <c r="N47" s="57">
        <f t="shared" si="1"/>
        <v>62.591999999999999</v>
      </c>
      <c r="O47" s="68" t="s">
        <v>54</v>
      </c>
      <c r="P47" s="68">
        <f>H47-J47</f>
        <v>0</v>
      </c>
    </row>
    <row r="48" spans="1:16" s="69" customFormat="1" ht="19.5" thickBot="1" x14ac:dyDescent="0.35">
      <c r="A48" s="56" t="s">
        <v>12</v>
      </c>
      <c r="B48" s="57">
        <v>0</v>
      </c>
      <c r="C48" s="58">
        <f>B48*8.14</f>
        <v>0</v>
      </c>
      <c r="D48" s="57">
        <v>0</v>
      </c>
      <c r="E48" s="57">
        <v>0</v>
      </c>
      <c r="F48" s="57">
        <v>0</v>
      </c>
      <c r="G48" s="57">
        <v>0</v>
      </c>
      <c r="H48" s="57">
        <v>600</v>
      </c>
      <c r="I48" s="57">
        <f>H48*ТАРИФЫ!G10/1000</f>
        <v>53.424000000000007</v>
      </c>
      <c r="J48" s="57">
        <v>600</v>
      </c>
      <c r="K48" s="57">
        <f>J48*ТАРИФЫ!G15/1000</f>
        <v>90.64800000000001</v>
      </c>
      <c r="L48" s="57">
        <v>0</v>
      </c>
      <c r="M48" s="57">
        <v>0</v>
      </c>
      <c r="N48" s="57">
        <f>SUM(C48,E48,G48,I48,K48)+M48-0.1</f>
        <v>143.97200000000001</v>
      </c>
      <c r="O48" s="68" t="s">
        <v>54</v>
      </c>
      <c r="P48" s="68">
        <f>H48-J48</f>
        <v>0</v>
      </c>
    </row>
    <row r="49" spans="1:20" s="69" customFormat="1" ht="19.5" thickBot="1" x14ac:dyDescent="0.35">
      <c r="A49" s="77" t="s">
        <v>14</v>
      </c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9"/>
      <c r="O49" s="68"/>
      <c r="P49" s="68"/>
    </row>
    <row r="50" spans="1:20" s="69" customFormat="1" ht="38.25" thickBot="1" x14ac:dyDescent="0.35">
      <c r="A50" s="56" t="s">
        <v>75</v>
      </c>
      <c r="B50" s="57">
        <f>B51+B52</f>
        <v>144.69999999999999</v>
      </c>
      <c r="C50" s="57">
        <f>C51+C52+0.1</f>
        <v>1285.0360000000001</v>
      </c>
      <c r="D50" s="57">
        <f t="shared" ref="D50:T50" si="15">D51+D52</f>
        <v>663.3</v>
      </c>
      <c r="E50" s="57">
        <f t="shared" si="15"/>
        <v>6817.4670479999995</v>
      </c>
      <c r="F50" s="57">
        <f t="shared" si="15"/>
        <v>84.1</v>
      </c>
      <c r="G50" s="57">
        <f>G51+G52</f>
        <v>863.03632799999991</v>
      </c>
      <c r="H50" s="57">
        <f t="shared" si="15"/>
        <v>4190.1000000000004</v>
      </c>
      <c r="I50" s="57">
        <f>I51+I52</f>
        <v>290.80238400000002</v>
      </c>
      <c r="J50" s="57">
        <f t="shared" si="15"/>
        <v>4190.1000000000004</v>
      </c>
      <c r="K50" s="57">
        <f>K51+K52</f>
        <v>527.28498000000002</v>
      </c>
      <c r="L50" s="57">
        <v>0</v>
      </c>
      <c r="M50" s="57">
        <f t="shared" ref="M50" si="16">M51+M52</f>
        <v>70.400000000000006</v>
      </c>
      <c r="N50" s="57">
        <f>SUM(C50,E50,G50,I50,K50)+M50</f>
        <v>9854.0267399999993</v>
      </c>
      <c r="O50" s="53" t="e">
        <f t="shared" si="15"/>
        <v>#VALUE!</v>
      </c>
      <c r="P50" s="53">
        <f t="shared" si="15"/>
        <v>0</v>
      </c>
      <c r="Q50" s="53">
        <f t="shared" si="15"/>
        <v>0</v>
      </c>
      <c r="R50" s="53">
        <f t="shared" si="15"/>
        <v>0</v>
      </c>
      <c r="S50" s="53">
        <f t="shared" si="15"/>
        <v>0</v>
      </c>
      <c r="T50" s="53">
        <f t="shared" si="15"/>
        <v>0</v>
      </c>
    </row>
    <row r="51" spans="1:20" s="69" customFormat="1" ht="19.5" thickBot="1" x14ac:dyDescent="0.35">
      <c r="A51" s="56" t="s">
        <v>11</v>
      </c>
      <c r="B51" s="58">
        <v>75.400000000000006</v>
      </c>
      <c r="C51" s="58">
        <f>B51*ТАРИФЫ!F21</f>
        <v>669.55200000000013</v>
      </c>
      <c r="D51" s="57">
        <v>386.8</v>
      </c>
      <c r="E51" s="57">
        <f>D51*ТАРИФЫ!F5/1000</f>
        <v>3851.506848</v>
      </c>
      <c r="F51" s="57">
        <v>50.8</v>
      </c>
      <c r="G51" s="57">
        <f>F51*ТАРИФЫ!F5/1000</f>
        <v>505.83388799999994</v>
      </c>
      <c r="H51" s="57">
        <v>2248.1999999999998</v>
      </c>
      <c r="I51" s="57">
        <f>H51*ТАРИФЫ!F10/1000</f>
        <v>117.89560800000001</v>
      </c>
      <c r="J51" s="57">
        <f>H51</f>
        <v>2248.1999999999998</v>
      </c>
      <c r="K51" s="57">
        <f>J51*ТАРИФЫ!F15/1000</f>
        <v>233.902728</v>
      </c>
      <c r="L51" s="57">
        <v>0</v>
      </c>
      <c r="M51" s="57">
        <v>34.5</v>
      </c>
      <c r="N51" s="57">
        <f t="shared" si="1"/>
        <v>5413.1910720000005</v>
      </c>
      <c r="O51" s="68" t="s">
        <v>54</v>
      </c>
      <c r="P51" s="68">
        <f>H51-J51</f>
        <v>0</v>
      </c>
    </row>
    <row r="52" spans="1:20" s="69" customFormat="1" ht="19.5" thickBot="1" x14ac:dyDescent="0.35">
      <c r="A52" s="56" t="s">
        <v>12</v>
      </c>
      <c r="B52" s="58">
        <v>69.3</v>
      </c>
      <c r="C52" s="58">
        <f>B52*ТАРИФЫ!F21</f>
        <v>615.38400000000001</v>
      </c>
      <c r="D52" s="57">
        <v>276.5</v>
      </c>
      <c r="E52" s="57">
        <f>D52*ТАРИФЫ!G5/1000</f>
        <v>2965.9601999999995</v>
      </c>
      <c r="F52" s="57">
        <v>33.299999999999997</v>
      </c>
      <c r="G52" s="57">
        <f>F52*ТАРИФЫ!G5/1000</f>
        <v>357.20243999999997</v>
      </c>
      <c r="H52" s="57">
        <v>1941.9</v>
      </c>
      <c r="I52" s="57">
        <f>H52*ТАРИФЫ!G10/1000</f>
        <v>172.90677600000001</v>
      </c>
      <c r="J52" s="57">
        <f>H52</f>
        <v>1941.9</v>
      </c>
      <c r="K52" s="57">
        <f>J52*ТАРИФЫ!G15/1000</f>
        <v>293.38225200000005</v>
      </c>
      <c r="L52" s="57">
        <v>0</v>
      </c>
      <c r="M52" s="57">
        <v>35.9</v>
      </c>
      <c r="N52" s="57">
        <f>SUM(C52,E52,G52,I52,K52)+M52+0.1</f>
        <v>4440.8356679999997</v>
      </c>
      <c r="O52" s="68" t="s">
        <v>54</v>
      </c>
      <c r="P52" s="68">
        <f>H52-J52</f>
        <v>0</v>
      </c>
    </row>
    <row r="53" spans="1:20" s="69" customFormat="1" ht="38.25" thickBot="1" x14ac:dyDescent="0.35">
      <c r="A53" s="56" t="s">
        <v>76</v>
      </c>
      <c r="B53" s="57">
        <f>B54+B55</f>
        <v>41.099999999999994</v>
      </c>
      <c r="C53" s="57">
        <f>C54+C55-0.1</f>
        <v>364.86799999999999</v>
      </c>
      <c r="D53" s="57">
        <f t="shared" ref="D53:K53" si="17">D54+D55</f>
        <v>368.29999999999995</v>
      </c>
      <c r="E53" s="57">
        <f t="shared" si="17"/>
        <v>6112.9677239999992</v>
      </c>
      <c r="F53" s="57">
        <f t="shared" si="17"/>
        <v>63.5</v>
      </c>
      <c r="G53" s="57">
        <f>G54+G55</f>
        <v>1100.5422840000001</v>
      </c>
      <c r="H53" s="57">
        <f t="shared" si="17"/>
        <v>1684</v>
      </c>
      <c r="I53" s="57">
        <f>I54+I55+0.1</f>
        <v>248.33655999999999</v>
      </c>
      <c r="J53" s="57">
        <f t="shared" si="17"/>
        <v>1684</v>
      </c>
      <c r="K53" s="57">
        <f t="shared" si="17"/>
        <v>237.06652103999997</v>
      </c>
      <c r="L53" s="57">
        <v>0</v>
      </c>
      <c r="M53" s="57">
        <f t="shared" ref="M53" si="18">M54+M55</f>
        <v>25.1</v>
      </c>
      <c r="N53" s="57">
        <f>N54+N55</f>
        <v>8088.88108904</v>
      </c>
      <c r="O53" s="68"/>
      <c r="P53" s="68"/>
    </row>
    <row r="54" spans="1:20" s="69" customFormat="1" ht="19.5" thickBot="1" x14ac:dyDescent="0.35">
      <c r="A54" s="56" t="s">
        <v>11</v>
      </c>
      <c r="B54" s="58">
        <v>21.4</v>
      </c>
      <c r="C54" s="58">
        <f>B54*ТАРИФЫ!F21</f>
        <v>190.03200000000001</v>
      </c>
      <c r="D54" s="57">
        <v>232.6</v>
      </c>
      <c r="E54" s="57">
        <f>D54*ТАРИФЫ!F8/1000</f>
        <v>3536.1712799999996</v>
      </c>
      <c r="F54" s="57">
        <v>27.8</v>
      </c>
      <c r="G54" s="57">
        <f>F54*ТАРИФЫ!F8/1000</f>
        <v>422.63783999999998</v>
      </c>
      <c r="H54" s="57">
        <v>778</v>
      </c>
      <c r="I54" s="57">
        <f>H54*ТАРИФЫ!F13/1000</f>
        <v>100.26864</v>
      </c>
      <c r="J54" s="57">
        <f t="shared" ref="J54:J55" si="19">H54</f>
        <v>778</v>
      </c>
      <c r="K54" s="57">
        <f>J54*ТАРИФЫ!F19/1000</f>
        <v>106.71047999999999</v>
      </c>
      <c r="L54" s="57">
        <v>0</v>
      </c>
      <c r="M54" s="57">
        <v>12.3</v>
      </c>
      <c r="N54" s="57">
        <f t="shared" si="1"/>
        <v>4368.1202400000002</v>
      </c>
      <c r="O54" s="68" t="s">
        <v>55</v>
      </c>
      <c r="P54" s="68">
        <f>H54-J54</f>
        <v>0</v>
      </c>
    </row>
    <row r="55" spans="1:20" s="69" customFormat="1" ht="19.5" thickBot="1" x14ac:dyDescent="0.35">
      <c r="A55" s="56" t="s">
        <v>12</v>
      </c>
      <c r="B55" s="58">
        <v>19.7</v>
      </c>
      <c r="C55" s="58">
        <f>B55*ТАРИФЫ!F21</f>
        <v>174.93600000000001</v>
      </c>
      <c r="D55" s="57">
        <v>135.69999999999999</v>
      </c>
      <c r="E55" s="57">
        <f>D55*ТАРИФЫ!G8/1000</f>
        <v>2576.7964439999996</v>
      </c>
      <c r="F55" s="57">
        <v>35.700000000000003</v>
      </c>
      <c r="G55" s="57">
        <f>F55*ТАРИФЫ!G8/1000</f>
        <v>677.90444400000001</v>
      </c>
      <c r="H55" s="57">
        <v>906</v>
      </c>
      <c r="I55" s="57">
        <f>H55*ТАРИФЫ!G13/1000</f>
        <v>147.96791999999999</v>
      </c>
      <c r="J55" s="57">
        <f t="shared" si="19"/>
        <v>906</v>
      </c>
      <c r="K55" s="57">
        <f>J55*ТАРИФЫ!G19/1000</f>
        <v>130.35604103999998</v>
      </c>
      <c r="L55" s="57">
        <v>0</v>
      </c>
      <c r="M55" s="57">
        <v>12.8</v>
      </c>
      <c r="N55" s="57">
        <f>SUM(C55,E55,G55,I55,K55)+M55</f>
        <v>3720.7608490400003</v>
      </c>
      <c r="O55" s="68" t="s">
        <v>55</v>
      </c>
      <c r="P55" s="68">
        <f>H55-J55</f>
        <v>0</v>
      </c>
    </row>
    <row r="56" spans="1:20" s="69" customFormat="1" ht="38.25" thickBot="1" x14ac:dyDescent="0.35">
      <c r="A56" s="58" t="s">
        <v>96</v>
      </c>
      <c r="B56" s="57">
        <f>B57+B58</f>
        <v>34</v>
      </c>
      <c r="C56" s="57">
        <f>C57+C58</f>
        <v>301.92000000000007</v>
      </c>
      <c r="D56" s="57">
        <f t="shared" ref="D56:J56" si="20">D57+D58</f>
        <v>517.70000000000005</v>
      </c>
      <c r="E56" s="57">
        <f>E57+E58</f>
        <v>11184.415536</v>
      </c>
      <c r="F56" s="57">
        <f t="shared" si="20"/>
        <v>0</v>
      </c>
      <c r="G56" s="57">
        <f t="shared" si="20"/>
        <v>0</v>
      </c>
      <c r="H56" s="57">
        <f t="shared" si="20"/>
        <v>472.5</v>
      </c>
      <c r="I56" s="57">
        <f>I57+I58-0.1</f>
        <v>32.096719999999998</v>
      </c>
      <c r="J56" s="57">
        <f t="shared" si="20"/>
        <v>472.5</v>
      </c>
      <c r="K56" s="57">
        <f>K57+K58-0.1</f>
        <v>66.475657399999989</v>
      </c>
      <c r="L56" s="57">
        <v>0</v>
      </c>
      <c r="M56" s="57">
        <f t="shared" ref="M56" si="21">M57+M58</f>
        <v>8.6000000000000014</v>
      </c>
      <c r="N56" s="57">
        <f>SUM(C56,E56,G56,I56,K56)+M56</f>
        <v>11593.507913400001</v>
      </c>
      <c r="O56" s="68"/>
      <c r="P56" s="68"/>
    </row>
    <row r="57" spans="1:20" s="69" customFormat="1" ht="19.5" thickBot="1" x14ac:dyDescent="0.35">
      <c r="A57" s="56" t="s">
        <v>11</v>
      </c>
      <c r="B57" s="56">
        <v>14.9</v>
      </c>
      <c r="C57" s="58">
        <f>B57*ТАРИФЫ!F21</f>
        <v>132.31200000000001</v>
      </c>
      <c r="D57" s="57">
        <v>343.2</v>
      </c>
      <c r="E57" s="58">
        <f>D57*ТАРИФЫ!F7/1000</f>
        <v>6855.4474559999999</v>
      </c>
      <c r="F57" s="57">
        <v>0</v>
      </c>
      <c r="G57" s="58">
        <v>0</v>
      </c>
      <c r="H57" s="57">
        <v>269.8</v>
      </c>
      <c r="I57" s="58">
        <f>H57*ТАРИФЫ!F12/1000</f>
        <v>14.148312000000002</v>
      </c>
      <c r="J57" s="57">
        <f t="shared" ref="J57:J58" si="22">H57</f>
        <v>269.8</v>
      </c>
      <c r="K57" s="58">
        <f>J57*ТАРИФЫ!F17/1000</f>
        <v>37.232399999999998</v>
      </c>
      <c r="L57" s="57">
        <v>0</v>
      </c>
      <c r="M57" s="57">
        <v>4.2</v>
      </c>
      <c r="N57" s="57">
        <f>SUM(C57,E57,G57,I57,K57)+M57-0.1</f>
        <v>7043.2401679999994</v>
      </c>
      <c r="O57" s="68"/>
      <c r="P57" s="68"/>
    </row>
    <row r="58" spans="1:20" s="69" customFormat="1" ht="19.5" thickBot="1" x14ac:dyDescent="0.35">
      <c r="A58" s="56" t="s">
        <v>12</v>
      </c>
      <c r="B58" s="58">
        <v>19.100000000000001</v>
      </c>
      <c r="C58" s="58">
        <f>B58*ТАРИФЫ!F21</f>
        <v>169.60800000000003</v>
      </c>
      <c r="D58" s="57">
        <v>174.5</v>
      </c>
      <c r="E58" s="58">
        <f>D58*ТАРИФЫ!G7/1000</f>
        <v>4328.9680799999996</v>
      </c>
      <c r="F58" s="57">
        <v>0</v>
      </c>
      <c r="G58" s="58">
        <v>0</v>
      </c>
      <c r="H58" s="57">
        <v>202.7</v>
      </c>
      <c r="I58" s="58">
        <f>H58*ТАРИФЫ!G12/1000</f>
        <v>18.048407999999998</v>
      </c>
      <c r="J58" s="57">
        <f t="shared" si="22"/>
        <v>202.7</v>
      </c>
      <c r="K58" s="58">
        <f>J58*ТАРИФЫ!G17/1000</f>
        <v>29.343257399999992</v>
      </c>
      <c r="L58" s="57">
        <v>0</v>
      </c>
      <c r="M58" s="57">
        <v>4.4000000000000004</v>
      </c>
      <c r="N58" s="57">
        <f>SUM(C58,E58,G58,I58,K58)+M58-0.1</f>
        <v>4550.2677453999986</v>
      </c>
      <c r="O58" s="68"/>
      <c r="P58" s="68"/>
    </row>
    <row r="59" spans="1:20" s="69" customFormat="1" ht="75.75" thickBot="1" x14ac:dyDescent="0.35">
      <c r="A59" s="56" t="s">
        <v>110</v>
      </c>
      <c r="B59" s="57">
        <f>B60+B61</f>
        <v>89</v>
      </c>
      <c r="C59" s="57">
        <f>C60+C61</f>
        <v>790.32</v>
      </c>
      <c r="D59" s="57">
        <f t="shared" ref="D59:J59" si="23">D60+D61</f>
        <v>870.80000000000007</v>
      </c>
      <c r="E59" s="57">
        <f>E60+E61</f>
        <v>8921.3987519999991</v>
      </c>
      <c r="F59" s="57">
        <f t="shared" si="23"/>
        <v>599.5</v>
      </c>
      <c r="G59" s="57">
        <f>G60+G61+0.1</f>
        <v>6011.3179119999995</v>
      </c>
      <c r="H59" s="57">
        <f t="shared" si="23"/>
        <v>3517.3999999999996</v>
      </c>
      <c r="I59" s="57">
        <f>I60+I61</f>
        <v>249.76881600000002</v>
      </c>
      <c r="J59" s="57">
        <f t="shared" si="23"/>
        <v>3517.3999999999996</v>
      </c>
      <c r="K59" s="57">
        <f>K60+K61</f>
        <v>449.89787999999999</v>
      </c>
      <c r="L59" s="57">
        <v>0</v>
      </c>
      <c r="M59" s="57">
        <f t="shared" ref="M59" si="24">M60+M61</f>
        <v>99.1</v>
      </c>
      <c r="N59" s="57">
        <f>SUM(C59,E59,G59,I59,K59)+M59</f>
        <v>16521.803359999998</v>
      </c>
      <c r="O59" s="68"/>
      <c r="P59" s="68"/>
    </row>
    <row r="60" spans="1:20" s="69" customFormat="1" ht="19.5" thickBot="1" x14ac:dyDescent="0.35">
      <c r="A60" s="56" t="s">
        <v>11</v>
      </c>
      <c r="B60" s="58">
        <v>48</v>
      </c>
      <c r="C60" s="58">
        <f>B60*ТАРИФЫ!F21</f>
        <v>426.24</v>
      </c>
      <c r="D60" s="57">
        <v>545.20000000000005</v>
      </c>
      <c r="E60" s="57">
        <f>D60*ТАРИФЫ!F5/1000</f>
        <v>5428.7526719999996</v>
      </c>
      <c r="F60" s="57">
        <v>545.20000000000005</v>
      </c>
      <c r="G60" s="57">
        <f>F60*ТАРИФЫ!F5/1000</f>
        <v>5428.7526719999996</v>
      </c>
      <c r="H60" s="57">
        <v>1732.8</v>
      </c>
      <c r="I60" s="57">
        <f>H60*ТАРИФЫ!F10/1000</f>
        <v>90.868031999999999</v>
      </c>
      <c r="J60" s="57">
        <f t="shared" ref="J60:J61" si="25">H60</f>
        <v>1732.8</v>
      </c>
      <c r="K60" s="57">
        <f>J60*ТАРИФЫ!F15/1000</f>
        <v>180.28051200000002</v>
      </c>
      <c r="L60" s="57">
        <v>0</v>
      </c>
      <c r="M60" s="57">
        <v>48.6</v>
      </c>
      <c r="N60" s="57">
        <f>SUM(C60,E60,G60,I60,K60)+M60+0.1</f>
        <v>11603.593887999999</v>
      </c>
      <c r="O60" s="68" t="s">
        <v>54</v>
      </c>
      <c r="P60" s="68">
        <f>H60-J60</f>
        <v>0</v>
      </c>
    </row>
    <row r="61" spans="1:20" s="69" customFormat="1" ht="19.5" thickBot="1" x14ac:dyDescent="0.35">
      <c r="A61" s="56" t="s">
        <v>12</v>
      </c>
      <c r="B61" s="58">
        <v>41</v>
      </c>
      <c r="C61" s="58">
        <f>B61*ТАРИФЫ!F21</f>
        <v>364.08000000000004</v>
      </c>
      <c r="D61" s="57">
        <v>325.60000000000002</v>
      </c>
      <c r="E61" s="57">
        <f>D61*ТАРИФЫ!G5/1000</f>
        <v>3492.64608</v>
      </c>
      <c r="F61" s="57">
        <v>54.3</v>
      </c>
      <c r="G61" s="57">
        <f>F61*ТАРИФЫ!G5/1000</f>
        <v>582.46523999999988</v>
      </c>
      <c r="H61" s="57">
        <v>1784.6</v>
      </c>
      <c r="I61" s="57">
        <f>H61*ТАРИФЫ!G10/1000</f>
        <v>158.90078400000002</v>
      </c>
      <c r="J61" s="57">
        <f t="shared" si="25"/>
        <v>1784.6</v>
      </c>
      <c r="K61" s="57">
        <f>J61*ТАРИФЫ!G15/1000</f>
        <v>269.617368</v>
      </c>
      <c r="L61" s="57">
        <v>0</v>
      </c>
      <c r="M61" s="57">
        <v>50.5</v>
      </c>
      <c r="N61" s="57">
        <f>SUM(C61,E61,G61,I61,K61)+M61</f>
        <v>4918.2094720000005</v>
      </c>
      <c r="O61" s="68" t="s">
        <v>54</v>
      </c>
      <c r="P61" s="68">
        <f>H61-J61</f>
        <v>0</v>
      </c>
    </row>
    <row r="62" spans="1:20" s="69" customFormat="1" ht="75.75" thickBot="1" x14ac:dyDescent="0.35">
      <c r="A62" s="56" t="s">
        <v>109</v>
      </c>
      <c r="B62" s="57">
        <f>B63+B64</f>
        <v>62.400000000000006</v>
      </c>
      <c r="C62" s="57">
        <f>C63+C64</f>
        <v>554.11200000000008</v>
      </c>
      <c r="D62" s="57">
        <f t="shared" ref="D62:J62" si="26">D63+D64</f>
        <v>641.4</v>
      </c>
      <c r="E62" s="57">
        <f>E63+E64</f>
        <v>6612.2505119999987</v>
      </c>
      <c r="F62" s="57">
        <f t="shared" si="26"/>
        <v>146.69999999999999</v>
      </c>
      <c r="G62" s="57">
        <f>G63+G64-0.1</f>
        <v>1509.3502640000002</v>
      </c>
      <c r="H62" s="57">
        <f t="shared" si="26"/>
        <v>2989.3999999999996</v>
      </c>
      <c r="I62" s="57">
        <f>I63+I64</f>
        <v>206.496216</v>
      </c>
      <c r="J62" s="57">
        <f t="shared" si="26"/>
        <v>2989.3999999999996</v>
      </c>
      <c r="K62" s="57">
        <f>K63+K64</f>
        <v>374.93512800000002</v>
      </c>
      <c r="L62" s="57">
        <v>0</v>
      </c>
      <c r="M62" s="57">
        <f t="shared" ref="M62" si="27">M63+M64</f>
        <v>61.599999999999994</v>
      </c>
      <c r="N62" s="57">
        <f>SUM(C62,E62,G62,I62,K62)+M62+0.1</f>
        <v>9318.8441199999979</v>
      </c>
      <c r="O62" s="68"/>
      <c r="P62" s="68"/>
    </row>
    <row r="63" spans="1:20" s="69" customFormat="1" ht="19.5" thickBot="1" x14ac:dyDescent="0.35">
      <c r="A63" s="56" t="s">
        <v>11</v>
      </c>
      <c r="B63" s="58">
        <v>34.700000000000003</v>
      </c>
      <c r="C63" s="58">
        <f>B63*ТАРИФЫ!F21</f>
        <v>308.13600000000002</v>
      </c>
      <c r="D63" s="57">
        <v>348.2</v>
      </c>
      <c r="E63" s="57">
        <f>D63*ТАРИФЫ!F5/1000</f>
        <v>3467.1527519999995</v>
      </c>
      <c r="F63" s="57">
        <v>83.4</v>
      </c>
      <c r="G63" s="57">
        <f>F63*ТАРИФЫ!F5/1000</f>
        <v>830.44382399999995</v>
      </c>
      <c r="H63" s="57">
        <v>1630.6</v>
      </c>
      <c r="I63" s="57">
        <f>H63*ТАРИФЫ!F10/1000</f>
        <v>85.50866400000001</v>
      </c>
      <c r="J63" s="57">
        <f t="shared" ref="J63:J64" si="28">H63</f>
        <v>1630.6</v>
      </c>
      <c r="K63" s="57">
        <f>J63*ТАРИФЫ!F15/1000</f>
        <v>169.64762400000001</v>
      </c>
      <c r="L63" s="57">
        <v>0</v>
      </c>
      <c r="M63" s="57">
        <v>30.2</v>
      </c>
      <c r="N63" s="57">
        <f>SUM(C63,E63,G63,I63,K63)+M63-0.1</f>
        <v>4890.988863999999</v>
      </c>
      <c r="O63" s="68" t="s">
        <v>54</v>
      </c>
      <c r="P63" s="68">
        <f>H63-J63</f>
        <v>0</v>
      </c>
    </row>
    <row r="64" spans="1:20" s="69" customFormat="1" ht="19.5" thickBot="1" x14ac:dyDescent="0.35">
      <c r="A64" s="56" t="s">
        <v>12</v>
      </c>
      <c r="B64" s="58">
        <v>27.7</v>
      </c>
      <c r="C64" s="58">
        <f>B64*ТАРИФЫ!F21</f>
        <v>245.97600000000003</v>
      </c>
      <c r="D64" s="57">
        <v>293.2</v>
      </c>
      <c r="E64" s="57">
        <f>D64*ТАРИФЫ!G5/1000</f>
        <v>3145.0977599999997</v>
      </c>
      <c r="F64" s="57">
        <v>63.3</v>
      </c>
      <c r="G64" s="57">
        <f>F64*ТАРИФЫ!G5/1000</f>
        <v>679.00644</v>
      </c>
      <c r="H64" s="57">
        <v>1358.8</v>
      </c>
      <c r="I64" s="57">
        <f>H64*ТАРИФЫ!G10/1000</f>
        <v>120.98755200000001</v>
      </c>
      <c r="J64" s="57">
        <f t="shared" si="28"/>
        <v>1358.8</v>
      </c>
      <c r="K64" s="57">
        <f>J64*ТАРИФЫ!G15/1000</f>
        <v>205.28750400000001</v>
      </c>
      <c r="L64" s="57">
        <v>0</v>
      </c>
      <c r="M64" s="57">
        <v>31.4</v>
      </c>
      <c r="N64" s="57">
        <f>SUM(C64,E64,G64,I64,K64)+M64</f>
        <v>4427.7552559999995</v>
      </c>
      <c r="O64" s="68" t="s">
        <v>54</v>
      </c>
      <c r="P64" s="68">
        <f>H64-J64</f>
        <v>0</v>
      </c>
    </row>
    <row r="65" spans="1:16" s="69" customFormat="1" ht="75.75" thickBot="1" x14ac:dyDescent="0.35">
      <c r="A65" s="56" t="s">
        <v>108</v>
      </c>
      <c r="B65" s="57">
        <f>B66+B67</f>
        <v>52</v>
      </c>
      <c r="C65" s="57">
        <f>C66+C67-0.1</f>
        <v>461.66</v>
      </c>
      <c r="D65" s="57">
        <f t="shared" ref="D65:J65" si="29">D66+D67</f>
        <v>889.9</v>
      </c>
      <c r="E65" s="57">
        <f t="shared" si="29"/>
        <v>14853.735108000001</v>
      </c>
      <c r="F65" s="57">
        <f t="shared" si="29"/>
        <v>40</v>
      </c>
      <c r="G65" s="57">
        <f>G66+G67</f>
        <v>686.86329599999988</v>
      </c>
      <c r="H65" s="57">
        <f t="shared" si="29"/>
        <v>1870.5</v>
      </c>
      <c r="I65" s="57">
        <f>I66+I67-0.1</f>
        <v>273.36774800000001</v>
      </c>
      <c r="J65" s="57">
        <f t="shared" si="29"/>
        <v>1870.5</v>
      </c>
      <c r="K65" s="57">
        <f>K66+K67-0.1</f>
        <v>262.78007418799996</v>
      </c>
      <c r="L65" s="57">
        <v>0</v>
      </c>
      <c r="M65" s="57">
        <f t="shared" ref="M65" si="30">M66+M67</f>
        <v>58.5</v>
      </c>
      <c r="N65" s="57">
        <f>SUM(C65,E65,G65,I65,K65)+M65+0.1</f>
        <v>16597.006226187998</v>
      </c>
      <c r="O65" s="68"/>
      <c r="P65" s="68"/>
    </row>
    <row r="66" spans="1:16" s="69" customFormat="1" ht="19.5" thickBot="1" x14ac:dyDescent="0.35">
      <c r="A66" s="56" t="s">
        <v>11</v>
      </c>
      <c r="B66" s="58">
        <v>27.4</v>
      </c>
      <c r="C66" s="58">
        <f>B66*ТАРИФЫ!F21</f>
        <v>243.31200000000001</v>
      </c>
      <c r="D66" s="57">
        <v>540</v>
      </c>
      <c r="E66" s="57">
        <f>D66*ТАРИФЫ!F8/1000</f>
        <v>8209.5120000000006</v>
      </c>
      <c r="F66" s="57">
        <v>19.2</v>
      </c>
      <c r="G66" s="57">
        <f>F66*ТАРИФЫ!F8/1000</f>
        <v>291.89375999999993</v>
      </c>
      <c r="H66" s="57">
        <v>929.8</v>
      </c>
      <c r="I66" s="57">
        <f>H66*ТАРИФЫ!F13/1000</f>
        <v>119.832624</v>
      </c>
      <c r="J66" s="57">
        <f t="shared" ref="J66:J67" si="31">H66</f>
        <v>929.8</v>
      </c>
      <c r="K66" s="57">
        <f>J66*ТАРИФЫ!F19/1000</f>
        <v>127.53136799999999</v>
      </c>
      <c r="L66" s="57">
        <v>0</v>
      </c>
      <c r="M66" s="57">
        <v>28.7</v>
      </c>
      <c r="N66" s="57">
        <f>SUM(C66,E66,G66,I66,K66)+M66-0.1</f>
        <v>9020.6817520000004</v>
      </c>
      <c r="O66" s="68" t="s">
        <v>55</v>
      </c>
      <c r="P66" s="68">
        <f t="shared" ref="P66:P76" si="32">H66-J66</f>
        <v>0</v>
      </c>
    </row>
    <row r="67" spans="1:16" s="69" customFormat="1" ht="19.5" thickBot="1" x14ac:dyDescent="0.35">
      <c r="A67" s="56" t="s">
        <v>12</v>
      </c>
      <c r="B67" s="58">
        <v>24.6</v>
      </c>
      <c r="C67" s="58">
        <f>B67*ТАРИФЫ!F21</f>
        <v>218.44800000000004</v>
      </c>
      <c r="D67" s="57">
        <v>349.9</v>
      </c>
      <c r="E67" s="57">
        <f>D67*ТАРИФЫ!G8/1000</f>
        <v>6644.2231079999992</v>
      </c>
      <c r="F67" s="57">
        <v>20.8</v>
      </c>
      <c r="G67" s="57">
        <f>F67*ТАРИФЫ!G8/1000</f>
        <v>394.96953599999995</v>
      </c>
      <c r="H67" s="57">
        <v>940.7</v>
      </c>
      <c r="I67" s="57">
        <f>H67*ТАРИФЫ!G13/1000</f>
        <v>153.63512400000002</v>
      </c>
      <c r="J67" s="57">
        <f t="shared" si="31"/>
        <v>940.7</v>
      </c>
      <c r="K67" s="57">
        <f>J67*ТАРИФЫ!G19/1000</f>
        <v>135.34870618799999</v>
      </c>
      <c r="L67" s="57">
        <v>0</v>
      </c>
      <c r="M67" s="57">
        <v>29.8</v>
      </c>
      <c r="N67" s="57">
        <f>SUM(C67,E67,G67,I67,K67)+M67-0.1</f>
        <v>7576.3244741879989</v>
      </c>
      <c r="O67" s="68" t="s">
        <v>55</v>
      </c>
      <c r="P67" s="68">
        <f t="shared" si="32"/>
        <v>0</v>
      </c>
    </row>
    <row r="68" spans="1:16" s="69" customFormat="1" ht="57" thickBot="1" x14ac:dyDescent="0.35">
      <c r="A68" s="56" t="s">
        <v>111</v>
      </c>
      <c r="B68" s="57">
        <f>B69+B70</f>
        <v>98.1</v>
      </c>
      <c r="C68" s="57">
        <f t="shared" ref="C68:J68" si="33">C69+C70</f>
        <v>871.12800000000016</v>
      </c>
      <c r="D68" s="57">
        <f t="shared" si="33"/>
        <v>559.29999999999995</v>
      </c>
      <c r="E68" s="57">
        <f t="shared" si="33"/>
        <v>12873.411263999998</v>
      </c>
      <c r="F68" s="57">
        <f t="shared" si="33"/>
        <v>0</v>
      </c>
      <c r="G68" s="57">
        <f t="shared" si="33"/>
        <v>0</v>
      </c>
      <c r="H68" s="57">
        <f t="shared" si="33"/>
        <v>87.1</v>
      </c>
      <c r="I68" s="57">
        <f>I69+I70-0.1</f>
        <v>9.3615559999999984</v>
      </c>
      <c r="J68" s="57">
        <f t="shared" si="33"/>
        <v>87.1</v>
      </c>
      <c r="K68" s="57">
        <f>K69+K70</f>
        <v>3.0200880000000003</v>
      </c>
      <c r="L68" s="57">
        <v>0</v>
      </c>
      <c r="M68" s="57">
        <f t="shared" ref="M68" si="34">M69+M70</f>
        <v>15.3</v>
      </c>
      <c r="N68" s="57">
        <f>SUM(C68,E68,G68,I68,K68)+M68</f>
        <v>13772.220907999998</v>
      </c>
      <c r="O68" s="68"/>
      <c r="P68" s="68"/>
    </row>
    <row r="69" spans="1:16" s="69" customFormat="1" ht="19.5" thickBot="1" x14ac:dyDescent="0.35">
      <c r="A69" s="56" t="s">
        <v>11</v>
      </c>
      <c r="B69" s="58">
        <v>60.9</v>
      </c>
      <c r="C69" s="58">
        <f>B69*ТАРИФЫ!F21</f>
        <v>540.79200000000003</v>
      </c>
      <c r="D69" s="57">
        <v>323.39999999999998</v>
      </c>
      <c r="E69" s="57">
        <f>D69*ТАРИФЫ!F6/1000</f>
        <v>6751.466567999998</v>
      </c>
      <c r="F69" s="57">
        <v>0</v>
      </c>
      <c r="G69" s="58">
        <v>0</v>
      </c>
      <c r="H69" s="57">
        <v>43.8</v>
      </c>
      <c r="I69" s="57">
        <f>H69*ТАРИФЫ!F11/1000</f>
        <v>4.5201599999999997</v>
      </c>
      <c r="J69" s="57">
        <f t="shared" ref="J69:J70" si="35">H69</f>
        <v>43.8</v>
      </c>
      <c r="K69" s="57">
        <f>J69*ТАРИФЫ!F16/1000</f>
        <v>1.4716800000000001</v>
      </c>
      <c r="L69" s="57">
        <v>0</v>
      </c>
      <c r="M69" s="57">
        <v>7.5</v>
      </c>
      <c r="N69" s="57">
        <f>SUM(C69,E69,G69,I69,K69)+M69</f>
        <v>7305.7504079999981</v>
      </c>
      <c r="O69" s="68" t="s">
        <v>56</v>
      </c>
      <c r="P69" s="68">
        <f t="shared" si="32"/>
        <v>0</v>
      </c>
    </row>
    <row r="70" spans="1:16" s="69" customFormat="1" ht="19.5" thickBot="1" x14ac:dyDescent="0.35">
      <c r="A70" s="56" t="s">
        <v>12</v>
      </c>
      <c r="B70" s="58">
        <v>37.200000000000003</v>
      </c>
      <c r="C70" s="58">
        <f>B70*ТАРИФЫ!F21</f>
        <v>330.33600000000007</v>
      </c>
      <c r="D70" s="57">
        <v>235.9</v>
      </c>
      <c r="E70" s="57">
        <f>D70*ТАРИФЫ!G6/1000</f>
        <v>6121.9446959999996</v>
      </c>
      <c r="F70" s="57">
        <v>0</v>
      </c>
      <c r="G70" s="58">
        <v>0</v>
      </c>
      <c r="H70" s="57">
        <v>43.3</v>
      </c>
      <c r="I70" s="57">
        <f>H70*ТАРИФЫ!G11/1000</f>
        <v>4.9413959999999992</v>
      </c>
      <c r="J70" s="57">
        <f t="shared" si="35"/>
        <v>43.3</v>
      </c>
      <c r="K70" s="57">
        <f>J70*ТАРИФЫ!G16/1000</f>
        <v>1.548408</v>
      </c>
      <c r="L70" s="57">
        <v>0</v>
      </c>
      <c r="M70" s="57">
        <v>7.8</v>
      </c>
      <c r="N70" s="57">
        <f>SUM(C70,E70,G70,I70,K70)+M70-0.2</f>
        <v>6466.3705</v>
      </c>
      <c r="O70" s="68" t="s">
        <v>56</v>
      </c>
      <c r="P70" s="68">
        <f t="shared" si="32"/>
        <v>0</v>
      </c>
    </row>
    <row r="71" spans="1:16" s="69" customFormat="1" ht="75.75" thickBot="1" x14ac:dyDescent="0.35">
      <c r="A71" s="56" t="s">
        <v>77</v>
      </c>
      <c r="B71" s="57">
        <f>B72+B73</f>
        <v>17</v>
      </c>
      <c r="C71" s="57">
        <f t="shared" ref="C71:J71" si="36">C72+C73</f>
        <v>150.96000000000004</v>
      </c>
      <c r="D71" s="57">
        <f t="shared" si="36"/>
        <v>401.59999999999997</v>
      </c>
      <c r="E71" s="57">
        <f>E72+E73</f>
        <v>4109.8290239999997</v>
      </c>
      <c r="F71" s="57">
        <f t="shared" si="36"/>
        <v>8.5</v>
      </c>
      <c r="G71" s="57">
        <f t="shared" si="36"/>
        <v>86.791991999999993</v>
      </c>
      <c r="H71" s="57">
        <f t="shared" si="36"/>
        <v>188.6</v>
      </c>
      <c r="I71" s="57">
        <f t="shared" si="36"/>
        <v>12.891384</v>
      </c>
      <c r="J71" s="57">
        <f t="shared" si="36"/>
        <v>188.6</v>
      </c>
      <c r="K71" s="57">
        <f>K72+K73</f>
        <v>23.479224000000002</v>
      </c>
      <c r="L71" s="57">
        <v>0</v>
      </c>
      <c r="M71" s="57">
        <f t="shared" ref="M71" si="37">M72+M73</f>
        <v>19</v>
      </c>
      <c r="N71" s="57">
        <f>SUM(C71,E71,G71,I71,K71)+M71</f>
        <v>4402.9516239999994</v>
      </c>
      <c r="O71" s="68"/>
      <c r="P71" s="68"/>
    </row>
    <row r="72" spans="1:16" s="69" customFormat="1" ht="19.5" thickBot="1" x14ac:dyDescent="0.35">
      <c r="A72" s="56" t="s">
        <v>11</v>
      </c>
      <c r="B72" s="58">
        <v>8.6</v>
      </c>
      <c r="C72" s="58">
        <f>B72*ТАРИФЫ!F21</f>
        <v>76.368000000000009</v>
      </c>
      <c r="D72" s="57">
        <v>257.39999999999998</v>
      </c>
      <c r="E72" s="57">
        <f>D72*ТАРИФЫ!F5/1000</f>
        <v>2563.0244639999996</v>
      </c>
      <c r="F72" s="57">
        <v>5.7</v>
      </c>
      <c r="G72" s="57">
        <f>F72*ТАРИФЫ!F5/1000</f>
        <v>56.756951999999998</v>
      </c>
      <c r="H72" s="57">
        <v>106.6</v>
      </c>
      <c r="I72" s="57">
        <f>H72*ТАРИФЫ!F10/1000</f>
        <v>5.5901040000000002</v>
      </c>
      <c r="J72" s="57">
        <f t="shared" ref="J72:J73" si="38">H72</f>
        <v>106.6</v>
      </c>
      <c r="K72" s="57">
        <f>J72*ТАРИФЫ!F15/1000</f>
        <v>11.090664</v>
      </c>
      <c r="L72" s="57">
        <v>0</v>
      </c>
      <c r="M72" s="57">
        <v>9.3000000000000007</v>
      </c>
      <c r="N72" s="57">
        <f>SUM(C72,E72,G72,I72,K72)+M72+0.1</f>
        <v>2722.2301839999996</v>
      </c>
      <c r="O72" s="68" t="s">
        <v>54</v>
      </c>
      <c r="P72" s="68">
        <f t="shared" si="32"/>
        <v>0</v>
      </c>
    </row>
    <row r="73" spans="1:16" s="69" customFormat="1" ht="19.5" thickBot="1" x14ac:dyDescent="0.35">
      <c r="A73" s="56" t="s">
        <v>12</v>
      </c>
      <c r="B73" s="58">
        <v>8.4</v>
      </c>
      <c r="C73" s="58">
        <f>B73*ТАРИФЫ!F21</f>
        <v>74.592000000000013</v>
      </c>
      <c r="D73" s="57">
        <v>144.19999999999999</v>
      </c>
      <c r="E73" s="57">
        <f>D73*ТАРИФЫ!G5/1000</f>
        <v>1546.8045599999998</v>
      </c>
      <c r="F73" s="57">
        <v>2.8</v>
      </c>
      <c r="G73" s="57">
        <f>F73*ТАРИФЫ!G5/1000</f>
        <v>30.035039999999999</v>
      </c>
      <c r="H73" s="57">
        <v>82</v>
      </c>
      <c r="I73" s="57">
        <f>H73*ТАРИФЫ!G10/1000</f>
        <v>7.3012800000000002</v>
      </c>
      <c r="J73" s="57">
        <f t="shared" si="38"/>
        <v>82</v>
      </c>
      <c r="K73" s="57">
        <f>J73*ТАРИФЫ!G15/1000</f>
        <v>12.388560000000002</v>
      </c>
      <c r="L73" s="57">
        <v>0</v>
      </c>
      <c r="M73" s="57">
        <v>9.6999999999999993</v>
      </c>
      <c r="N73" s="57">
        <f>SUM(C73,E73,G73,I73,K73)+M73</f>
        <v>1680.8214399999999</v>
      </c>
      <c r="O73" s="68" t="s">
        <v>54</v>
      </c>
      <c r="P73" s="68">
        <f t="shared" si="32"/>
        <v>0</v>
      </c>
    </row>
    <row r="74" spans="1:16" s="69" customFormat="1" ht="19.5" thickBot="1" x14ac:dyDescent="0.35">
      <c r="A74" s="56" t="s">
        <v>13</v>
      </c>
      <c r="B74" s="57">
        <f>B75+B76</f>
        <v>538.30000000000007</v>
      </c>
      <c r="C74" s="57">
        <f>C75+C76</f>
        <v>4780.0040000000008</v>
      </c>
      <c r="D74" s="57">
        <f t="shared" ref="D74:N74" si="39">D75+D76</f>
        <v>4912.3</v>
      </c>
      <c r="E74" s="57">
        <f>E75+E76-0.1</f>
        <v>71485.474967999995</v>
      </c>
      <c r="F74" s="57">
        <f t="shared" si="39"/>
        <v>942.30000000000018</v>
      </c>
      <c r="G74" s="57">
        <f t="shared" si="39"/>
        <v>10257.902075999998</v>
      </c>
      <c r="H74" s="57">
        <f t="shared" si="39"/>
        <v>14999.6</v>
      </c>
      <c r="I74" s="57">
        <f>I75+I76</f>
        <v>1323.2213840000002</v>
      </c>
      <c r="J74" s="57">
        <f t="shared" si="39"/>
        <v>14999.6</v>
      </c>
      <c r="K74" s="57">
        <f>K75+K76+0.1</f>
        <v>1945.0395526279999</v>
      </c>
      <c r="L74" s="57">
        <f t="shared" si="39"/>
        <v>0</v>
      </c>
      <c r="M74" s="57">
        <f t="shared" si="39"/>
        <v>357.6</v>
      </c>
      <c r="N74" s="57">
        <f t="shared" si="39"/>
        <v>90149.241980627994</v>
      </c>
      <c r="O74" s="68"/>
      <c r="P74" s="68"/>
    </row>
    <row r="75" spans="1:16" s="69" customFormat="1" ht="19.5" thickBot="1" x14ac:dyDescent="0.35">
      <c r="A75" s="56" t="s">
        <v>11</v>
      </c>
      <c r="B75" s="58">
        <f>B51+B54+B57+B60+B63+B66+B69+B72</f>
        <v>291.30000000000007</v>
      </c>
      <c r="C75" s="58">
        <f>C72+C69+C66+C63+C60+C57+C54+C51</f>
        <v>2586.7440000000006</v>
      </c>
      <c r="D75" s="58">
        <f t="shared" ref="D75:L75" si="40">D51+D54+D57+D60+D63+D66+D69+D72</f>
        <v>2976.8</v>
      </c>
      <c r="E75" s="58">
        <f>E51+E54+E57+E60+E63+E66+E69+E72+0.1</f>
        <v>40663.134039999997</v>
      </c>
      <c r="F75" s="58">
        <f t="shared" si="40"/>
        <v>732.10000000000014</v>
      </c>
      <c r="G75" s="58">
        <f>G51+G54+G57+G60+G63+G66+G69+G72</f>
        <v>7536.3189359999988</v>
      </c>
      <c r="H75" s="58">
        <f t="shared" si="40"/>
        <v>7739.6</v>
      </c>
      <c r="I75" s="58">
        <f>I51+I54+I57+I60+I63+I66+I69+I72</f>
        <v>538.63214400000004</v>
      </c>
      <c r="J75" s="58">
        <f t="shared" si="40"/>
        <v>7739.6</v>
      </c>
      <c r="K75" s="58">
        <f>K51+K54+K57+K60+K63+K66+K69+K72-0.1</f>
        <v>867.76745599999992</v>
      </c>
      <c r="L75" s="58">
        <f t="shared" si="40"/>
        <v>0</v>
      </c>
      <c r="M75" s="58">
        <f>M51+M54+M57+M60+M63+M66+M69+M72</f>
        <v>175.29999999999998</v>
      </c>
      <c r="N75" s="57">
        <f>SUM(C75,E75,G75,I75,K75)+M75-0.1</f>
        <v>52367.796576000001</v>
      </c>
      <c r="O75" s="68"/>
      <c r="P75" s="68">
        <f t="shared" si="32"/>
        <v>0</v>
      </c>
    </row>
    <row r="76" spans="1:16" s="69" customFormat="1" ht="19.5" thickBot="1" x14ac:dyDescent="0.35">
      <c r="A76" s="56" t="s">
        <v>12</v>
      </c>
      <c r="B76" s="58">
        <f>B52+B55+B58+B61+B64+B67+B70+B73</f>
        <v>246.99999999999997</v>
      </c>
      <c r="C76" s="58">
        <f>C52+C55+C58+C61+C64+C67+C70+C73-0.1</f>
        <v>2193.2600000000007</v>
      </c>
      <c r="D76" s="58">
        <f t="shared" ref="D76:L76" si="41">D52+D55+D58+D61+D64+D67+D70+D73</f>
        <v>1935.5000000000002</v>
      </c>
      <c r="E76" s="58">
        <f>E52+E55+E58+E61+E64+E67+E70+E73</f>
        <v>30822.440927999996</v>
      </c>
      <c r="F76" s="58">
        <f t="shared" si="41"/>
        <v>210.20000000000002</v>
      </c>
      <c r="G76" s="58">
        <f>G52+G55+G58+G61+G64+G67+G70+G73</f>
        <v>2721.5831400000002</v>
      </c>
      <c r="H76" s="58">
        <f t="shared" si="41"/>
        <v>7260</v>
      </c>
      <c r="I76" s="58">
        <f>I52+I55+I58+I61+I64+I67+I70+I73-0.1</f>
        <v>784.58924000000013</v>
      </c>
      <c r="J76" s="58">
        <f t="shared" si="41"/>
        <v>7260</v>
      </c>
      <c r="K76" s="58">
        <f>K52+K55+K58+K61+K64+K67+K70+K73-0.1</f>
        <v>1077.1720966280002</v>
      </c>
      <c r="L76" s="58">
        <f t="shared" si="41"/>
        <v>0</v>
      </c>
      <c r="M76" s="58">
        <f>M52+M55+M58+M61+M64+M67+M70+M73</f>
        <v>182.3</v>
      </c>
      <c r="N76" s="57">
        <f>SUM(C76,E76,G76,I76,K76)+M76+0.1</f>
        <v>37781.445404628001</v>
      </c>
      <c r="O76" s="68"/>
      <c r="P76" s="68">
        <f t="shared" si="32"/>
        <v>0</v>
      </c>
    </row>
    <row r="77" spans="1:16" s="69" customFormat="1" ht="19.5" thickBot="1" x14ac:dyDescent="0.35">
      <c r="A77" s="77" t="s">
        <v>16</v>
      </c>
      <c r="B77" s="78"/>
      <c r="C77" s="78"/>
      <c r="D77" s="78"/>
      <c r="E77" s="78"/>
      <c r="F77" s="78"/>
      <c r="G77" s="78"/>
      <c r="H77" s="78"/>
      <c r="I77" s="78"/>
      <c r="J77" s="78"/>
      <c r="K77" s="78"/>
      <c r="L77" s="78"/>
      <c r="M77" s="78"/>
      <c r="N77" s="79"/>
      <c r="O77" s="68"/>
      <c r="P77" s="68"/>
    </row>
    <row r="78" spans="1:16" s="69" customFormat="1" ht="75.75" thickBot="1" x14ac:dyDescent="0.35">
      <c r="A78" s="56" t="s">
        <v>17</v>
      </c>
      <c r="B78" s="57">
        <f>B79+B80</f>
        <v>31</v>
      </c>
      <c r="C78" s="57">
        <f>C79+C80-0.1</f>
        <v>275.18</v>
      </c>
      <c r="D78" s="57">
        <f t="shared" ref="D78:M78" si="42">D79+D80</f>
        <v>288.70000000000005</v>
      </c>
      <c r="E78" s="57">
        <f t="shared" si="42"/>
        <v>2955.7888080000002</v>
      </c>
      <c r="F78" s="57">
        <f t="shared" si="42"/>
        <v>5.6</v>
      </c>
      <c r="G78" s="57">
        <f>G79+G80</f>
        <v>57.684815999999998</v>
      </c>
      <c r="H78" s="57">
        <f t="shared" si="42"/>
        <v>402.9</v>
      </c>
      <c r="I78" s="57">
        <f t="shared" si="42"/>
        <v>27.115836000000002</v>
      </c>
      <c r="J78" s="57">
        <f t="shared" si="42"/>
        <v>402.9</v>
      </c>
      <c r="K78" s="57">
        <f t="shared" si="42"/>
        <v>49.613460000000003</v>
      </c>
      <c r="L78" s="57">
        <f t="shared" si="42"/>
        <v>0</v>
      </c>
      <c r="M78" s="57">
        <f t="shared" si="42"/>
        <v>22.4</v>
      </c>
      <c r="N78" s="57">
        <f t="shared" si="1"/>
        <v>3387.7829200000001</v>
      </c>
      <c r="O78" s="68"/>
      <c r="P78" s="68"/>
    </row>
    <row r="79" spans="1:16" s="69" customFormat="1" ht="19.5" thickBot="1" x14ac:dyDescent="0.35">
      <c r="A79" s="56" t="s">
        <v>11</v>
      </c>
      <c r="B79" s="58">
        <v>17.2</v>
      </c>
      <c r="C79" s="58">
        <f>B79*ТАРИФЫ!F21</f>
        <v>152.73600000000002</v>
      </c>
      <c r="D79" s="57">
        <v>183.3</v>
      </c>
      <c r="E79" s="57">
        <f>D79*ТАРИФЫ!F5/1000</f>
        <v>1825.184088</v>
      </c>
      <c r="F79" s="57">
        <v>3.1</v>
      </c>
      <c r="G79" s="57">
        <f>F79*ТАРИФЫ!F5/1000</f>
        <v>30.867815999999994</v>
      </c>
      <c r="H79" s="57">
        <v>239.3</v>
      </c>
      <c r="I79" s="57">
        <f>H79*ТАРИФЫ!F10/1000</f>
        <v>12.548892000000002</v>
      </c>
      <c r="J79" s="57">
        <f t="shared" ref="J79:J80" si="43">H79</f>
        <v>239.3</v>
      </c>
      <c r="K79" s="57">
        <f>J79*ТАРИФЫ!F15/1000</f>
        <v>24.896772000000006</v>
      </c>
      <c r="L79" s="57">
        <v>0</v>
      </c>
      <c r="M79" s="57">
        <v>11</v>
      </c>
      <c r="N79" s="57">
        <f>SUM(C79,E79,G79,I79,K79)+M79</f>
        <v>2057.2335680000001</v>
      </c>
      <c r="O79" s="68" t="s">
        <v>54</v>
      </c>
      <c r="P79" s="68">
        <f>H79-J79</f>
        <v>0</v>
      </c>
    </row>
    <row r="80" spans="1:16" s="69" customFormat="1" ht="19.5" thickBot="1" x14ac:dyDescent="0.35">
      <c r="A80" s="56" t="s">
        <v>12</v>
      </c>
      <c r="B80" s="58">
        <v>13.8</v>
      </c>
      <c r="C80" s="58">
        <f>B80*ТАРИФЫ!F21</f>
        <v>122.54400000000001</v>
      </c>
      <c r="D80" s="57">
        <v>105.4</v>
      </c>
      <c r="E80" s="57">
        <f>D80*ТАРИФЫ!G5/1000</f>
        <v>1130.60472</v>
      </c>
      <c r="F80" s="57">
        <v>2.5</v>
      </c>
      <c r="G80" s="57">
        <f>F80*ТАРИФЫ!G5/1000</f>
        <v>26.817</v>
      </c>
      <c r="H80" s="57">
        <v>163.6</v>
      </c>
      <c r="I80" s="57">
        <f>H80*ТАРИФЫ!G10/1000</f>
        <v>14.566944000000001</v>
      </c>
      <c r="J80" s="57">
        <f t="shared" si="43"/>
        <v>163.6</v>
      </c>
      <c r="K80" s="57">
        <f>J80*ТАРИФЫ!G15/1000</f>
        <v>24.716688000000001</v>
      </c>
      <c r="L80" s="57">
        <v>0</v>
      </c>
      <c r="M80" s="57">
        <v>11.4</v>
      </c>
      <c r="N80" s="57">
        <f t="shared" ref="N80" si="44">SUM(C80,E80,G80,I80,K80)+M80</f>
        <v>1330.6493520000001</v>
      </c>
      <c r="O80" s="68" t="s">
        <v>54</v>
      </c>
      <c r="P80" s="68">
        <f>H80-J80</f>
        <v>0</v>
      </c>
    </row>
    <row r="81" spans="1:21" s="69" customFormat="1" ht="57" thickBot="1" x14ac:dyDescent="0.35">
      <c r="A81" s="56" t="s">
        <v>105</v>
      </c>
      <c r="B81" s="57">
        <f>B82+B83</f>
        <v>26.7</v>
      </c>
      <c r="C81" s="57">
        <f>C82+C83</f>
        <v>237.096</v>
      </c>
      <c r="D81" s="57">
        <f t="shared" ref="D81:J81" si="45">D82+D83</f>
        <v>142.5</v>
      </c>
      <c r="E81" s="57">
        <f>E82+E83+0.1</f>
        <v>2349.7472079999993</v>
      </c>
      <c r="F81" s="57">
        <f t="shared" si="45"/>
        <v>0</v>
      </c>
      <c r="G81" s="57">
        <f t="shared" si="45"/>
        <v>0</v>
      </c>
      <c r="H81" s="57">
        <f t="shared" si="45"/>
        <v>530.1</v>
      </c>
      <c r="I81" s="57">
        <f>I82+I83</f>
        <v>76.119947999999994</v>
      </c>
      <c r="J81" s="57">
        <f t="shared" si="45"/>
        <v>530.1</v>
      </c>
      <c r="K81" s="57">
        <f>K82+K83</f>
        <v>74.230786260000002</v>
      </c>
      <c r="L81" s="57">
        <v>0</v>
      </c>
      <c r="M81" s="57">
        <f t="shared" ref="M81" si="46">M82+M83</f>
        <v>11.2</v>
      </c>
      <c r="N81" s="57">
        <f>SUM(C81,E81,G81,I81,K81)+M81-0.1</f>
        <v>2748.2939422599993</v>
      </c>
      <c r="O81" s="68"/>
      <c r="P81" s="68"/>
    </row>
    <row r="82" spans="1:21" s="69" customFormat="1" ht="19.5" thickBot="1" x14ac:dyDescent="0.35">
      <c r="A82" s="56" t="s">
        <v>11</v>
      </c>
      <c r="B82" s="58">
        <v>14.2</v>
      </c>
      <c r="C82" s="58">
        <f>B82*ТАРИФЫ!F21</f>
        <v>126.096</v>
      </c>
      <c r="D82" s="57">
        <v>94.1</v>
      </c>
      <c r="E82" s="57">
        <f>D82*ТАРИФЫ!F8/1000</f>
        <v>1430.5834799999998</v>
      </c>
      <c r="F82" s="57">
        <v>0</v>
      </c>
      <c r="G82" s="57">
        <f>F82*ТАРИФЫ!F8/1000</f>
        <v>0</v>
      </c>
      <c r="H82" s="57">
        <v>303.60000000000002</v>
      </c>
      <c r="I82" s="57">
        <f>H82*ТАРИФЫ!F13/1000</f>
        <v>39.127968000000003</v>
      </c>
      <c r="J82" s="57">
        <f t="shared" ref="J82:J83" si="47">H82</f>
        <v>303.60000000000002</v>
      </c>
      <c r="K82" s="57">
        <f>J82*ТАРИФЫ!F19/1000</f>
        <v>41.641776000000007</v>
      </c>
      <c r="L82" s="57">
        <v>0</v>
      </c>
      <c r="M82" s="57">
        <v>5.5</v>
      </c>
      <c r="N82" s="57">
        <f>SUM(C82,E82,G82,I82,K82)+M82</f>
        <v>1642.9492239999997</v>
      </c>
      <c r="O82" s="68" t="s">
        <v>55</v>
      </c>
      <c r="P82" s="68">
        <f>H82-J82</f>
        <v>0</v>
      </c>
    </row>
    <row r="83" spans="1:21" s="69" customFormat="1" ht="19.5" thickBot="1" x14ac:dyDescent="0.35">
      <c r="A83" s="56" t="s">
        <v>12</v>
      </c>
      <c r="B83" s="58">
        <v>12.5</v>
      </c>
      <c r="C83" s="58">
        <f>B83*ТАРИФЫ!F21</f>
        <v>111.00000000000001</v>
      </c>
      <c r="D83" s="57">
        <v>48.4</v>
      </c>
      <c r="E83" s="57">
        <f>D83*ТАРИФЫ!G8/1000</f>
        <v>919.06372799999986</v>
      </c>
      <c r="F83" s="57">
        <v>0</v>
      </c>
      <c r="G83" s="57">
        <f>F83*ТАРИФЫ!G8/1000</f>
        <v>0</v>
      </c>
      <c r="H83" s="57">
        <v>226.5</v>
      </c>
      <c r="I83" s="57">
        <f>H83*ТАРИФЫ!G13/1000</f>
        <v>36.991979999999998</v>
      </c>
      <c r="J83" s="57">
        <f t="shared" si="47"/>
        <v>226.5</v>
      </c>
      <c r="K83" s="57">
        <f>J83*ТАРИФЫ!G19/1000</f>
        <v>32.589010259999995</v>
      </c>
      <c r="L83" s="57">
        <v>0</v>
      </c>
      <c r="M83" s="57">
        <v>5.7</v>
      </c>
      <c r="N83" s="57">
        <f>SUM(C83,E83,G83,I83,K83)+M83+0.1</f>
        <v>1105.4447182599997</v>
      </c>
      <c r="O83" s="68" t="s">
        <v>55</v>
      </c>
      <c r="P83" s="68">
        <f>H83-J83</f>
        <v>0</v>
      </c>
    </row>
    <row r="84" spans="1:21" s="69" customFormat="1" ht="75.75" thickBot="1" x14ac:dyDescent="0.35">
      <c r="A84" s="56" t="s">
        <v>23</v>
      </c>
      <c r="B84" s="57">
        <f>B85+B86</f>
        <v>13.8</v>
      </c>
      <c r="C84" s="57">
        <f>C85+C86+0.1</f>
        <v>122.54400000000001</v>
      </c>
      <c r="D84" s="57">
        <f t="shared" ref="D84:J84" si="48">D85+D86</f>
        <v>189</v>
      </c>
      <c r="E84" s="57">
        <f t="shared" si="48"/>
        <v>2514.2672039999998</v>
      </c>
      <c r="F84" s="57">
        <f t="shared" si="48"/>
        <v>3.2</v>
      </c>
      <c r="G84" s="57">
        <f t="shared" si="48"/>
        <v>48.779184000000001</v>
      </c>
      <c r="H84" s="57">
        <f t="shared" si="48"/>
        <v>164</v>
      </c>
      <c r="I84" s="57">
        <f>I85+I86</f>
        <v>20.588611999999998</v>
      </c>
      <c r="J84" s="57">
        <f t="shared" si="48"/>
        <v>164</v>
      </c>
      <c r="K84" s="57">
        <f>K85+K86</f>
        <v>22.065745719999999</v>
      </c>
      <c r="L84" s="57">
        <v>0</v>
      </c>
      <c r="M84" s="57">
        <f t="shared" ref="M84" si="49">M85+M86</f>
        <v>10</v>
      </c>
      <c r="N84" s="57">
        <f>SUM(C84,E84,G84,I84,K84)+M84+0.1</f>
        <v>2738.3447457199995</v>
      </c>
      <c r="O84" s="68"/>
      <c r="P84" s="68"/>
    </row>
    <row r="85" spans="1:21" s="69" customFormat="1" ht="19.5" thickBot="1" x14ac:dyDescent="0.35">
      <c r="A85" s="56" t="s">
        <v>11</v>
      </c>
      <c r="B85" s="58">
        <f>B89+B92+B95+B98</f>
        <v>6.8999999999999995</v>
      </c>
      <c r="C85" s="58">
        <f>C89+C92+C95+C98</f>
        <v>61.272000000000013</v>
      </c>
      <c r="D85" s="58">
        <f t="shared" ref="D85:J85" si="50">D89+D92+D95+D98</f>
        <v>110.69999999999999</v>
      </c>
      <c r="E85" s="58">
        <f>E89+E92+E95+E98</f>
        <v>1378.4981879999998</v>
      </c>
      <c r="F85" s="58">
        <f t="shared" si="50"/>
        <v>1.6</v>
      </c>
      <c r="G85" s="58">
        <f>G89+G92+G95+G98</f>
        <v>21.701760000000004</v>
      </c>
      <c r="H85" s="58">
        <f t="shared" si="50"/>
        <v>82.9</v>
      </c>
      <c r="I85" s="58">
        <f>I89+I92+I95+I98</f>
        <v>8.9560960000000005</v>
      </c>
      <c r="J85" s="58">
        <f t="shared" si="50"/>
        <v>82.9</v>
      </c>
      <c r="K85" s="58">
        <f>K89+K92+K95+K98</f>
        <v>10.452976</v>
      </c>
      <c r="L85" s="58">
        <v>0</v>
      </c>
      <c r="M85" s="58">
        <v>4.9000000000000004</v>
      </c>
      <c r="N85" s="57">
        <f>SUM(C85,E85,G85,I85,K85)+M85+0.1</f>
        <v>1485.8810199999996</v>
      </c>
      <c r="O85" s="68"/>
      <c r="P85" s="68">
        <f>H85-J85</f>
        <v>0</v>
      </c>
    </row>
    <row r="86" spans="1:21" s="69" customFormat="1" ht="19.5" thickBot="1" x14ac:dyDescent="0.35">
      <c r="A86" s="56" t="s">
        <v>12</v>
      </c>
      <c r="B86" s="58">
        <f>B90+B93+B96+B99</f>
        <v>6.9</v>
      </c>
      <c r="C86" s="58">
        <f>C90+C93+C96+C99-0.1</f>
        <v>61.172000000000004</v>
      </c>
      <c r="D86" s="58">
        <f t="shared" ref="D86:J86" si="51">D90+D93+D96+D99</f>
        <v>78.300000000000011</v>
      </c>
      <c r="E86" s="58">
        <f>E90+E93+E96+E99</f>
        <v>1135.7690159999997</v>
      </c>
      <c r="F86" s="58">
        <f t="shared" si="51"/>
        <v>1.6</v>
      </c>
      <c r="G86" s="58">
        <f>G90+G93+G96+G99</f>
        <v>27.077423999999997</v>
      </c>
      <c r="H86" s="58">
        <f t="shared" si="51"/>
        <v>81.100000000000009</v>
      </c>
      <c r="I86" s="58">
        <f>I90+I93+I96+I99</f>
        <v>11.632515999999999</v>
      </c>
      <c r="J86" s="58">
        <f t="shared" si="51"/>
        <v>81.100000000000009</v>
      </c>
      <c r="K86" s="58">
        <f>K90+K93+K96+K99</f>
        <v>11.612769719999999</v>
      </c>
      <c r="L86" s="57">
        <v>0</v>
      </c>
      <c r="M86" s="57">
        <v>5.0999999999999996</v>
      </c>
      <c r="N86" s="57">
        <f>SUM(C86,E86,G86,I86,K86)+M86</f>
        <v>1252.3637257199996</v>
      </c>
      <c r="O86" s="68"/>
      <c r="P86" s="68">
        <f>H86-J86</f>
        <v>0</v>
      </c>
    </row>
    <row r="87" spans="1:21" s="69" customFormat="1" ht="19.5" thickBot="1" x14ac:dyDescent="0.35">
      <c r="A87" s="77" t="s">
        <v>15</v>
      </c>
      <c r="B87" s="78"/>
      <c r="C87" s="78"/>
      <c r="D87" s="78"/>
      <c r="E87" s="78"/>
      <c r="F87" s="78"/>
      <c r="G87" s="78"/>
      <c r="H87" s="78"/>
      <c r="I87" s="78"/>
      <c r="J87" s="78"/>
      <c r="K87" s="78"/>
      <c r="L87" s="78"/>
      <c r="M87" s="78"/>
      <c r="N87" s="79"/>
      <c r="O87" s="68"/>
      <c r="P87" s="68"/>
    </row>
    <row r="88" spans="1:21" s="69" customFormat="1" ht="57" thickBot="1" x14ac:dyDescent="0.35">
      <c r="A88" s="56" t="s">
        <v>50</v>
      </c>
      <c r="B88" s="57">
        <f>B89+B90</f>
        <v>10.100000000000001</v>
      </c>
      <c r="C88" s="57">
        <f>C89+C90</f>
        <v>89.688000000000017</v>
      </c>
      <c r="D88" s="57">
        <f t="shared" ref="D88:T88" si="52">D89+D90</f>
        <v>121.19999999999999</v>
      </c>
      <c r="E88" s="57">
        <f>E89+E90+0.1</f>
        <v>1245.3270879999998</v>
      </c>
      <c r="F88" s="57">
        <f t="shared" si="52"/>
        <v>0.9</v>
      </c>
      <c r="G88" s="57">
        <f t="shared" si="52"/>
        <v>9.269400000000001</v>
      </c>
      <c r="H88" s="57">
        <f t="shared" si="52"/>
        <v>43.099999999999994</v>
      </c>
      <c r="I88" s="57">
        <f t="shared" si="52"/>
        <v>3.0177839999999998</v>
      </c>
      <c r="J88" s="57">
        <f t="shared" si="52"/>
        <v>43.099999999999994</v>
      </c>
      <c r="K88" s="57">
        <f>K89+K90-0.1</f>
        <v>5.3578520000000012</v>
      </c>
      <c r="L88" s="57">
        <f t="shared" si="52"/>
        <v>0</v>
      </c>
      <c r="M88" s="57">
        <f t="shared" si="52"/>
        <v>10</v>
      </c>
      <c r="N88" s="57">
        <f>N89+N90-0.1</f>
        <v>1362.660124</v>
      </c>
      <c r="O88" s="53" t="e">
        <f t="shared" si="52"/>
        <v>#VALUE!</v>
      </c>
      <c r="P88" s="53">
        <f t="shared" si="52"/>
        <v>0</v>
      </c>
      <c r="Q88" s="53">
        <f t="shared" si="52"/>
        <v>0</v>
      </c>
      <c r="R88" s="53">
        <f t="shared" si="52"/>
        <v>0</v>
      </c>
      <c r="S88" s="53">
        <f t="shared" si="52"/>
        <v>0</v>
      </c>
      <c r="T88" s="59">
        <f t="shared" si="52"/>
        <v>0</v>
      </c>
      <c r="U88" s="60"/>
    </row>
    <row r="89" spans="1:21" s="69" customFormat="1" ht="19.5" thickBot="1" x14ac:dyDescent="0.35">
      <c r="A89" s="56" t="s">
        <v>11</v>
      </c>
      <c r="B89" s="58">
        <v>5.2</v>
      </c>
      <c r="C89" s="58">
        <f>B89*ТАРИФЫ!F21</f>
        <v>46.176000000000009</v>
      </c>
      <c r="D89" s="57">
        <v>71.3</v>
      </c>
      <c r="E89" s="58">
        <f>D89*ТАРИФЫ!F5/1000</f>
        <v>709.95976799999994</v>
      </c>
      <c r="F89" s="57">
        <v>0.5</v>
      </c>
      <c r="G89" s="57">
        <f>F89*ТАРИФЫ!F5/1000</f>
        <v>4.9786799999999998</v>
      </c>
      <c r="H89" s="57">
        <v>22.4</v>
      </c>
      <c r="I89" s="57">
        <f>H89*ТАРИФЫ!F10/1000</f>
        <v>1.1746559999999999</v>
      </c>
      <c r="J89" s="57">
        <f>H89</f>
        <v>22.4</v>
      </c>
      <c r="K89" s="57">
        <f>J89*ТАРИФЫ!F15/1000</f>
        <v>2.3304960000000001</v>
      </c>
      <c r="L89" s="57">
        <v>0</v>
      </c>
      <c r="M89" s="57">
        <v>4.9000000000000004</v>
      </c>
      <c r="N89" s="57">
        <f>SUM(C89,E89,G89,I89,K89)+M89+0.1</f>
        <v>769.6196000000001</v>
      </c>
      <c r="O89" s="68" t="s">
        <v>54</v>
      </c>
      <c r="P89" s="68">
        <f>H89-J89</f>
        <v>0</v>
      </c>
    </row>
    <row r="90" spans="1:21" s="69" customFormat="1" ht="19.5" thickBot="1" x14ac:dyDescent="0.35">
      <c r="A90" s="56" t="s">
        <v>12</v>
      </c>
      <c r="B90" s="58">
        <v>4.9000000000000004</v>
      </c>
      <c r="C90" s="58">
        <f>B90*ТАРИФЫ!F21</f>
        <v>43.512000000000008</v>
      </c>
      <c r="D90" s="57">
        <v>49.9</v>
      </c>
      <c r="E90" s="57">
        <f>D90*ТАРИФЫ!G5/1000</f>
        <v>535.26731999999993</v>
      </c>
      <c r="F90" s="57">
        <v>0.4</v>
      </c>
      <c r="G90" s="57">
        <f>F90*ТАРИФЫ!G5/1000</f>
        <v>4.2907200000000003</v>
      </c>
      <c r="H90" s="57">
        <v>20.7</v>
      </c>
      <c r="I90" s="57">
        <f>H90*ТАРИФЫ!G10/1000</f>
        <v>1.8431280000000001</v>
      </c>
      <c r="J90" s="57">
        <f>H90</f>
        <v>20.7</v>
      </c>
      <c r="K90" s="57">
        <f>J90*ТАРИФЫ!G15/1000</f>
        <v>3.1273560000000002</v>
      </c>
      <c r="L90" s="57">
        <v>0</v>
      </c>
      <c r="M90" s="57">
        <v>5.0999999999999996</v>
      </c>
      <c r="N90" s="57">
        <f>SUM(C90,E90,G90,I90,K90)+M90</f>
        <v>593.14052399999991</v>
      </c>
      <c r="O90" s="68" t="s">
        <v>54</v>
      </c>
      <c r="P90" s="68">
        <f>H90-J90</f>
        <v>0</v>
      </c>
    </row>
    <row r="91" spans="1:21" s="69" customFormat="1" ht="38.25" thickBot="1" x14ac:dyDescent="0.35">
      <c r="A91" s="56" t="s">
        <v>48</v>
      </c>
      <c r="B91" s="57">
        <f>B92+B93</f>
        <v>2.7</v>
      </c>
      <c r="C91" s="57">
        <f>C92+C93-0.1</f>
        <v>23.876000000000001</v>
      </c>
      <c r="D91" s="57">
        <f t="shared" ref="D91:J91" si="53">D92+D93</f>
        <v>45.3</v>
      </c>
      <c r="E91" s="57">
        <f>E92+E93</f>
        <v>760.62311999999997</v>
      </c>
      <c r="F91" s="57">
        <f t="shared" si="53"/>
        <v>2.2999999999999998</v>
      </c>
      <c r="G91" s="57">
        <f>G92+G93</f>
        <v>39.509783999999996</v>
      </c>
      <c r="H91" s="57">
        <f t="shared" si="53"/>
        <v>116</v>
      </c>
      <c r="I91" s="57">
        <f>I92+I93+0.1</f>
        <v>17.047600000000003</v>
      </c>
      <c r="J91" s="57">
        <f t="shared" si="53"/>
        <v>116</v>
      </c>
      <c r="K91" s="57">
        <f>K92+K93</f>
        <v>16.300368719999998</v>
      </c>
      <c r="L91" s="57">
        <v>0</v>
      </c>
      <c r="M91" s="57">
        <v>0</v>
      </c>
      <c r="N91" s="57">
        <f>SUM(C91,E91,G91,I91,K91)+M91-0.1</f>
        <v>857.25687271999993</v>
      </c>
      <c r="O91" s="68"/>
      <c r="P91" s="68"/>
    </row>
    <row r="92" spans="1:21" s="69" customFormat="1" ht="19.5" thickBot="1" x14ac:dyDescent="0.35">
      <c r="A92" s="56" t="s">
        <v>11</v>
      </c>
      <c r="B92" s="58">
        <v>1.3</v>
      </c>
      <c r="C92" s="58">
        <f>B92*ТАРИФЫ!F21</f>
        <v>11.544000000000002</v>
      </c>
      <c r="D92" s="57">
        <v>26.3</v>
      </c>
      <c r="E92" s="57">
        <f>D92*ТАРИФЫ!F8/1000</f>
        <v>399.83364</v>
      </c>
      <c r="F92" s="57">
        <v>1.1000000000000001</v>
      </c>
      <c r="G92" s="57">
        <f>F92*ТАРИФЫ!F8/1000</f>
        <v>16.723080000000003</v>
      </c>
      <c r="H92" s="57">
        <v>58</v>
      </c>
      <c r="I92" s="57">
        <f>H92*ТАРИФЫ!F13/1000</f>
        <v>7.4750399999999999</v>
      </c>
      <c r="J92" s="57">
        <f t="shared" ref="J92:J93" si="54">H92</f>
        <v>58</v>
      </c>
      <c r="K92" s="57">
        <f>J92*ТАРИФЫ!F19/1000</f>
        <v>7.9552800000000001</v>
      </c>
      <c r="L92" s="57">
        <v>0</v>
      </c>
      <c r="M92" s="57">
        <v>0</v>
      </c>
      <c r="N92" s="57">
        <f>SUM(C92,E92,G92,I92,K92)+M92</f>
        <v>443.53103999999996</v>
      </c>
      <c r="O92" s="68" t="s">
        <v>55</v>
      </c>
      <c r="P92" s="68">
        <f>H92-J92</f>
        <v>0</v>
      </c>
    </row>
    <row r="93" spans="1:21" s="69" customFormat="1" ht="19.5" thickBot="1" x14ac:dyDescent="0.35">
      <c r="A93" s="56" t="s">
        <v>12</v>
      </c>
      <c r="B93" s="58">
        <v>1.4</v>
      </c>
      <c r="C93" s="58">
        <f>B93*ТАРИФЫ!F21</f>
        <v>12.432</v>
      </c>
      <c r="D93" s="57">
        <v>19</v>
      </c>
      <c r="E93" s="57">
        <f>D93*ТАРИФЫ!G8/1000</f>
        <v>360.78947999999997</v>
      </c>
      <c r="F93" s="57">
        <v>1.2</v>
      </c>
      <c r="G93" s="57">
        <f>F93*ТАРИФЫ!G8/1000</f>
        <v>22.786703999999997</v>
      </c>
      <c r="H93" s="57">
        <v>58</v>
      </c>
      <c r="I93" s="57">
        <f>H93*ТАРИФЫ!G13/1000</f>
        <v>9.4725599999999996</v>
      </c>
      <c r="J93" s="57">
        <f t="shared" si="54"/>
        <v>58</v>
      </c>
      <c r="K93" s="57">
        <f>J93*ТАРИФЫ!G19/1000</f>
        <v>8.3450887199999979</v>
      </c>
      <c r="L93" s="57">
        <v>0</v>
      </c>
      <c r="M93" s="57">
        <v>0</v>
      </c>
      <c r="N93" s="57">
        <f>SUM(C93,E93,G93,I93,K93)+M93</f>
        <v>413.82583271999994</v>
      </c>
      <c r="O93" s="68" t="s">
        <v>55</v>
      </c>
      <c r="P93" s="68">
        <f>H93-J93</f>
        <v>0</v>
      </c>
    </row>
    <row r="94" spans="1:21" s="69" customFormat="1" ht="38.25" thickBot="1" x14ac:dyDescent="0.35">
      <c r="A94" s="56" t="s">
        <v>49</v>
      </c>
      <c r="B94" s="57">
        <f>B95+B96</f>
        <v>0.8</v>
      </c>
      <c r="C94" s="57">
        <f>C95+C96</f>
        <v>7.104000000000001</v>
      </c>
      <c r="D94" s="57">
        <f t="shared" ref="D94:J94" si="55">D95+D96</f>
        <v>13.5</v>
      </c>
      <c r="E94" s="57">
        <f>E95+E96-0.1</f>
        <v>310.66006399999992</v>
      </c>
      <c r="F94" s="57">
        <f t="shared" si="55"/>
        <v>0</v>
      </c>
      <c r="G94" s="57">
        <f t="shared" si="55"/>
        <v>0</v>
      </c>
      <c r="H94" s="57">
        <f t="shared" si="55"/>
        <v>3.9</v>
      </c>
      <c r="I94" s="57">
        <f t="shared" si="55"/>
        <v>0.42322799999999994</v>
      </c>
      <c r="J94" s="57">
        <f t="shared" si="55"/>
        <v>3.9</v>
      </c>
      <c r="K94" s="57">
        <f>K95+K96+0.1</f>
        <v>0.23514399999999999</v>
      </c>
      <c r="L94" s="57">
        <v>0</v>
      </c>
      <c r="M94" s="57">
        <v>0</v>
      </c>
      <c r="N94" s="57">
        <f>SUM(C94,E94,G94,I94,K94)+M94</f>
        <v>318.42243599999989</v>
      </c>
      <c r="O94" s="68"/>
      <c r="P94" s="68"/>
    </row>
    <row r="95" spans="1:21" s="69" customFormat="1" ht="19.5" thickBot="1" x14ac:dyDescent="0.35">
      <c r="A95" s="56" t="s">
        <v>11</v>
      </c>
      <c r="B95" s="58">
        <v>0.3</v>
      </c>
      <c r="C95" s="58">
        <f>B95*ТАРИФЫ!F21</f>
        <v>2.6640000000000001</v>
      </c>
      <c r="D95" s="57">
        <v>7.8</v>
      </c>
      <c r="E95" s="57">
        <f>D95*ТАРИФЫ!F6/1000</f>
        <v>162.83685599999998</v>
      </c>
      <c r="F95" s="57">
        <v>0</v>
      </c>
      <c r="G95" s="58">
        <v>0</v>
      </c>
      <c r="H95" s="57">
        <v>2</v>
      </c>
      <c r="I95" s="57">
        <f>H95*ТАРИФЫ!F11/1000</f>
        <v>0.2064</v>
      </c>
      <c r="J95" s="57">
        <f t="shared" ref="J95:J96" si="56">H95</f>
        <v>2</v>
      </c>
      <c r="K95" s="57">
        <f>J95*ТАРИФЫ!F16/1000</f>
        <v>6.720000000000001E-2</v>
      </c>
      <c r="L95" s="57">
        <v>0</v>
      </c>
      <c r="M95" s="57">
        <v>0</v>
      </c>
      <c r="N95" s="57">
        <f t="shared" ref="N95:N100" si="57">SUM(C95,E95,G95,I95,K95)+M95</f>
        <v>165.77445599999999</v>
      </c>
      <c r="O95" s="68" t="s">
        <v>56</v>
      </c>
      <c r="P95" s="68">
        <f>H95-J95</f>
        <v>0</v>
      </c>
    </row>
    <row r="96" spans="1:21" s="69" customFormat="1" ht="19.5" thickBot="1" x14ac:dyDescent="0.35">
      <c r="A96" s="56" t="s">
        <v>12</v>
      </c>
      <c r="B96" s="58">
        <v>0.5</v>
      </c>
      <c r="C96" s="58">
        <f>B96*ТАРИФЫ!F21</f>
        <v>4.4400000000000004</v>
      </c>
      <c r="D96" s="57">
        <v>5.7</v>
      </c>
      <c r="E96" s="57">
        <f>D96*ТАРИФЫ!G6/1000</f>
        <v>147.92320799999999</v>
      </c>
      <c r="F96" s="57">
        <v>0</v>
      </c>
      <c r="G96" s="58">
        <v>0</v>
      </c>
      <c r="H96" s="57">
        <v>1.9</v>
      </c>
      <c r="I96" s="57">
        <f>H96*ТАРИФЫ!G11/1000</f>
        <v>0.21682799999999997</v>
      </c>
      <c r="J96" s="57">
        <f t="shared" si="56"/>
        <v>1.9</v>
      </c>
      <c r="K96" s="57">
        <f>J96*ТАРИФЫ!G16/1000</f>
        <v>6.7943999999999991E-2</v>
      </c>
      <c r="L96" s="57">
        <v>0</v>
      </c>
      <c r="M96" s="57">
        <v>0</v>
      </c>
      <c r="N96" s="57">
        <f>SUM(C96,E96,G96,I96,K96)+M96</f>
        <v>152.64797999999999</v>
      </c>
      <c r="O96" s="68" t="s">
        <v>56</v>
      </c>
      <c r="P96" s="68">
        <f>H96-J96</f>
        <v>0</v>
      </c>
    </row>
    <row r="97" spans="1:20" s="69" customFormat="1" ht="38.25" thickBot="1" x14ac:dyDescent="0.35">
      <c r="A97" s="56" t="s">
        <v>106</v>
      </c>
      <c r="B97" s="57">
        <f>B98+B99</f>
        <v>0.2</v>
      </c>
      <c r="C97" s="57">
        <f t="shared" ref="C97:J97" si="58">C98+C99</f>
        <v>1.7760000000000002</v>
      </c>
      <c r="D97" s="57">
        <f t="shared" si="58"/>
        <v>9</v>
      </c>
      <c r="E97" s="57">
        <f>E98+E99</f>
        <v>197.65693199999998</v>
      </c>
      <c r="F97" s="57">
        <f t="shared" si="58"/>
        <v>0</v>
      </c>
      <c r="G97" s="57">
        <f t="shared" si="58"/>
        <v>0</v>
      </c>
      <c r="H97" s="57">
        <f t="shared" si="58"/>
        <v>1</v>
      </c>
      <c r="I97" s="57">
        <f t="shared" si="58"/>
        <v>0.2</v>
      </c>
      <c r="J97" s="57">
        <f t="shared" si="58"/>
        <v>1</v>
      </c>
      <c r="K97" s="57">
        <f>K98+K99</f>
        <v>0.17238100000000001</v>
      </c>
      <c r="L97" s="57">
        <v>0</v>
      </c>
      <c r="M97" s="57">
        <v>0</v>
      </c>
      <c r="N97" s="57">
        <f>SUM(C97,E97,G97,I97,K97)+M97+0.1</f>
        <v>199.90531299999998</v>
      </c>
      <c r="O97" s="68"/>
      <c r="P97" s="68"/>
    </row>
    <row r="98" spans="1:20" s="69" customFormat="1" ht="19.5" thickBot="1" x14ac:dyDescent="0.35">
      <c r="A98" s="56" t="s">
        <v>11</v>
      </c>
      <c r="B98" s="58">
        <v>0.1</v>
      </c>
      <c r="C98" s="58">
        <f>B98*ТАРИФЫ!F21</f>
        <v>0.88800000000000012</v>
      </c>
      <c r="D98" s="57">
        <v>5.3</v>
      </c>
      <c r="E98" s="58">
        <f>D98*ТАРИФЫ!F7/1000</f>
        <v>105.867924</v>
      </c>
      <c r="F98" s="57">
        <v>0</v>
      </c>
      <c r="G98" s="58">
        <v>0</v>
      </c>
      <c r="H98" s="57">
        <v>0.5</v>
      </c>
      <c r="I98" s="58">
        <v>0.1</v>
      </c>
      <c r="J98" s="57">
        <f t="shared" ref="J98:J99" si="59">H98</f>
        <v>0.5</v>
      </c>
      <c r="K98" s="58">
        <v>0.1</v>
      </c>
      <c r="L98" s="57">
        <v>0</v>
      </c>
      <c r="M98" s="57">
        <v>0</v>
      </c>
      <c r="N98" s="57">
        <f t="shared" si="57"/>
        <v>106.955924</v>
      </c>
      <c r="O98" s="68" t="s">
        <v>57</v>
      </c>
      <c r="P98" s="68">
        <f>H98-J98</f>
        <v>0</v>
      </c>
    </row>
    <row r="99" spans="1:20" s="69" customFormat="1" ht="19.5" thickBot="1" x14ac:dyDescent="0.35">
      <c r="A99" s="56" t="s">
        <v>12</v>
      </c>
      <c r="B99" s="58">
        <v>0.1</v>
      </c>
      <c r="C99" s="58">
        <f>B99*ТАРИФЫ!F21</f>
        <v>0.88800000000000012</v>
      </c>
      <c r="D99" s="57">
        <v>3.7</v>
      </c>
      <c r="E99" s="58">
        <f>D99*ТАРИФЫ!G7/1000</f>
        <v>91.789007999999995</v>
      </c>
      <c r="F99" s="57">
        <v>0</v>
      </c>
      <c r="G99" s="58">
        <v>0</v>
      </c>
      <c r="H99" s="57">
        <v>0.5</v>
      </c>
      <c r="I99" s="58">
        <v>0.1</v>
      </c>
      <c r="J99" s="57">
        <f t="shared" si="59"/>
        <v>0.5</v>
      </c>
      <c r="K99" s="58">
        <f>J99*ТАРИФЫ!G17/1000</f>
        <v>7.2380999999999987E-2</v>
      </c>
      <c r="L99" s="57">
        <v>0</v>
      </c>
      <c r="M99" s="57">
        <v>0</v>
      </c>
      <c r="N99" s="57">
        <f>SUM(C99,E99,G99,I99,K99)+M99+0.1</f>
        <v>92.949388999999982</v>
      </c>
      <c r="O99" s="68" t="s">
        <v>57</v>
      </c>
      <c r="P99" s="68">
        <f>H99-J99</f>
        <v>0</v>
      </c>
    </row>
    <row r="100" spans="1:20" s="69" customFormat="1" ht="19.5" thickBot="1" x14ac:dyDescent="0.35">
      <c r="A100" s="56" t="s">
        <v>13</v>
      </c>
      <c r="B100" s="57">
        <f>B101+B102</f>
        <v>71.5</v>
      </c>
      <c r="C100" s="57">
        <f t="shared" ref="C100:J100" si="60">C101+C102</f>
        <v>634.82000000000005</v>
      </c>
      <c r="D100" s="57">
        <f t="shared" si="60"/>
        <v>620.20000000000005</v>
      </c>
      <c r="E100" s="57">
        <f>E101+E102</f>
        <v>7819.8032199999998</v>
      </c>
      <c r="F100" s="57">
        <f t="shared" si="60"/>
        <v>8.8000000000000007</v>
      </c>
      <c r="G100" s="57">
        <f t="shared" si="60"/>
        <v>106.464</v>
      </c>
      <c r="H100" s="57">
        <f t="shared" si="60"/>
        <v>1097</v>
      </c>
      <c r="I100" s="57">
        <f>I101+I102</f>
        <v>123.82439600000001</v>
      </c>
      <c r="J100" s="57">
        <f t="shared" si="60"/>
        <v>1097</v>
      </c>
      <c r="K100" s="57">
        <f>K101+K102</f>
        <v>145.90999198000003</v>
      </c>
      <c r="L100" s="57">
        <v>0</v>
      </c>
      <c r="M100" s="57">
        <f>M101+M102</f>
        <v>43.6</v>
      </c>
      <c r="N100" s="57">
        <f t="shared" si="57"/>
        <v>8874.421607979999</v>
      </c>
      <c r="O100" s="68"/>
      <c r="P100" s="68"/>
    </row>
    <row r="101" spans="1:20" s="69" customFormat="1" ht="19.5" thickBot="1" x14ac:dyDescent="0.35">
      <c r="A101" s="56" t="s">
        <v>11</v>
      </c>
      <c r="B101" s="58">
        <f>B79+B82+B85</f>
        <v>38.299999999999997</v>
      </c>
      <c r="C101" s="58">
        <f>C79+C82+C85</f>
        <v>340.10399999999998</v>
      </c>
      <c r="D101" s="58">
        <f t="shared" ref="D101:J101" si="61">D79+D82+D85</f>
        <v>388.09999999999997</v>
      </c>
      <c r="E101" s="58">
        <f>E79+E82+E85</f>
        <v>4634.2657559999998</v>
      </c>
      <c r="F101" s="58">
        <f t="shared" si="61"/>
        <v>4.7</v>
      </c>
      <c r="G101" s="58">
        <f>G79+G82+G85</f>
        <v>52.569575999999998</v>
      </c>
      <c r="H101" s="58">
        <f t="shared" si="61"/>
        <v>625.80000000000007</v>
      </c>
      <c r="I101" s="58">
        <f>I79+I82+I85</f>
        <v>60.632956000000007</v>
      </c>
      <c r="J101" s="58">
        <f t="shared" si="61"/>
        <v>625.80000000000007</v>
      </c>
      <c r="K101" s="58">
        <f>K79+K82+K85</f>
        <v>76.991524000000027</v>
      </c>
      <c r="L101" s="58">
        <f t="shared" ref="L101:M101" si="62">L79+L82+L85</f>
        <v>0</v>
      </c>
      <c r="M101" s="58">
        <f t="shared" si="62"/>
        <v>21.4</v>
      </c>
      <c r="N101" s="57">
        <f>SUM(C101,E101,G101,I101,K101)+M101</f>
        <v>5185.963812</v>
      </c>
      <c r="O101" s="68"/>
      <c r="P101" s="68">
        <f>H101-J101</f>
        <v>0</v>
      </c>
    </row>
    <row r="102" spans="1:20" s="69" customFormat="1" ht="19.5" thickBot="1" x14ac:dyDescent="0.35">
      <c r="A102" s="56" t="s">
        <v>12</v>
      </c>
      <c r="B102" s="58">
        <f>B80+B83+B86</f>
        <v>33.200000000000003</v>
      </c>
      <c r="C102" s="58">
        <f>C80+C83+C86</f>
        <v>294.71600000000007</v>
      </c>
      <c r="D102" s="58">
        <f t="shared" ref="D102:J102" si="63">D80+D83+D86</f>
        <v>232.10000000000002</v>
      </c>
      <c r="E102" s="58">
        <f>E80+E83+E86+0.1</f>
        <v>3185.5374639999995</v>
      </c>
      <c r="F102" s="58">
        <f t="shared" si="63"/>
        <v>4.0999999999999996</v>
      </c>
      <c r="G102" s="58">
        <f>G80+G83+G86</f>
        <v>53.894424000000001</v>
      </c>
      <c r="H102" s="58">
        <f t="shared" si="63"/>
        <v>471.20000000000005</v>
      </c>
      <c r="I102" s="58">
        <f>I80+I83+I86</f>
        <v>63.19144</v>
      </c>
      <c r="J102" s="58">
        <f t="shared" si="63"/>
        <v>471.20000000000005</v>
      </c>
      <c r="K102" s="58">
        <f>K80+K83+K86</f>
        <v>68.918467980000003</v>
      </c>
      <c r="L102" s="58">
        <f t="shared" ref="L102:M102" si="64">L80+L83+L86</f>
        <v>0</v>
      </c>
      <c r="M102" s="58">
        <f t="shared" si="64"/>
        <v>22.200000000000003</v>
      </c>
      <c r="N102" s="57">
        <f>SUM(C102,E102,G102,I102,K102)+M102-0.1</f>
        <v>3688.3577959799995</v>
      </c>
      <c r="O102" s="68"/>
      <c r="P102" s="68">
        <f>H102-J102</f>
        <v>0</v>
      </c>
    </row>
    <row r="103" spans="1:20" s="69" customFormat="1" ht="19.5" thickBot="1" x14ac:dyDescent="0.35">
      <c r="A103" s="77" t="s">
        <v>51</v>
      </c>
      <c r="B103" s="78"/>
      <c r="C103" s="78"/>
      <c r="D103" s="78"/>
      <c r="E103" s="78"/>
      <c r="F103" s="78"/>
      <c r="G103" s="78"/>
      <c r="H103" s="78"/>
      <c r="I103" s="78"/>
      <c r="J103" s="78"/>
      <c r="K103" s="78"/>
      <c r="L103" s="78"/>
      <c r="M103" s="78"/>
      <c r="N103" s="79"/>
      <c r="O103" s="68"/>
      <c r="P103" s="68"/>
    </row>
    <row r="104" spans="1:20" s="69" customFormat="1" ht="19.5" thickBot="1" x14ac:dyDescent="0.35">
      <c r="A104" s="56" t="s">
        <v>13</v>
      </c>
      <c r="B104" s="57">
        <f>B105+B106</f>
        <v>608.9</v>
      </c>
      <c r="C104" s="57">
        <f>C105+C106</f>
        <v>5407.0320000000011</v>
      </c>
      <c r="D104" s="57">
        <f t="shared" ref="D104:M104" si="65">D105+D106</f>
        <v>1233.2000000000003</v>
      </c>
      <c r="E104" s="57">
        <f>E105+E106-0.1</f>
        <v>16037.980156</v>
      </c>
      <c r="F104" s="57">
        <f t="shared" si="65"/>
        <v>78</v>
      </c>
      <c r="G104" s="57">
        <f>G105+G106-0.1</f>
        <v>803.06587200000001</v>
      </c>
      <c r="H104" s="57">
        <f t="shared" si="65"/>
        <v>3236.6</v>
      </c>
      <c r="I104" s="57">
        <f>I105+I106-0.1</f>
        <v>229.35204800000005</v>
      </c>
      <c r="J104" s="57">
        <f t="shared" si="65"/>
        <v>3236.6</v>
      </c>
      <c r="K104" s="57">
        <f>K105+K106</f>
        <v>413.36302000000006</v>
      </c>
      <c r="L104" s="57">
        <f t="shared" si="65"/>
        <v>0</v>
      </c>
      <c r="M104" s="57">
        <f t="shared" si="65"/>
        <v>105.1</v>
      </c>
      <c r="N104" s="57">
        <f>SUM(C104,E104,G104,I104,K104)+M104+0.1</f>
        <v>22995.993095999998</v>
      </c>
      <c r="O104" s="68"/>
      <c r="P104" s="68"/>
    </row>
    <row r="105" spans="1:20" s="69" customFormat="1" ht="19.5" thickBot="1" x14ac:dyDescent="0.35">
      <c r="A105" s="56" t="s">
        <v>11</v>
      </c>
      <c r="B105" s="58">
        <f>B109+B119+B122</f>
        <v>308.29999999999995</v>
      </c>
      <c r="C105" s="58">
        <f>C109+C119+C122</f>
        <v>2737.7040000000002</v>
      </c>
      <c r="D105" s="58">
        <f t="shared" ref="D105:T105" si="66">D109+D119+D122</f>
        <v>813.40000000000009</v>
      </c>
      <c r="E105" s="58">
        <f>E109+E119+E122</f>
        <v>10085.9305</v>
      </c>
      <c r="F105" s="58">
        <f t="shared" si="66"/>
        <v>43.7</v>
      </c>
      <c r="G105" s="58">
        <f>G109+G119+G122+0.1</f>
        <v>435.23663199999999</v>
      </c>
      <c r="H105" s="58">
        <f t="shared" si="66"/>
        <v>1612</v>
      </c>
      <c r="I105" s="58">
        <f>I109+I119+I122</f>
        <v>84.633279999999999</v>
      </c>
      <c r="J105" s="58">
        <f t="shared" si="66"/>
        <v>1612</v>
      </c>
      <c r="K105" s="58">
        <f>K109+K119+K122</f>
        <v>167.87888400000003</v>
      </c>
      <c r="L105" s="58">
        <f t="shared" si="66"/>
        <v>0</v>
      </c>
      <c r="M105" s="58">
        <f>M109+M119+M122</f>
        <v>51.5</v>
      </c>
      <c r="N105" s="57">
        <f>SUM(C105,E105,G105,I105,K105)+M105-0.1</f>
        <v>13562.783296</v>
      </c>
      <c r="O105" s="61" t="e">
        <f t="shared" si="66"/>
        <v>#VALUE!</v>
      </c>
      <c r="P105" s="61">
        <f t="shared" si="66"/>
        <v>0</v>
      </c>
      <c r="Q105" s="61">
        <f t="shared" si="66"/>
        <v>0</v>
      </c>
      <c r="R105" s="61">
        <f t="shared" si="66"/>
        <v>0</v>
      </c>
      <c r="S105" s="61">
        <f t="shared" si="66"/>
        <v>0</v>
      </c>
      <c r="T105" s="61">
        <f t="shared" si="66"/>
        <v>0</v>
      </c>
    </row>
    <row r="106" spans="1:20" s="69" customFormat="1" ht="19.5" thickBot="1" x14ac:dyDescent="0.35">
      <c r="A106" s="56" t="s">
        <v>12</v>
      </c>
      <c r="B106" s="58">
        <f>B110+B120+B123</f>
        <v>300.60000000000002</v>
      </c>
      <c r="C106" s="58">
        <f>C110+C120+C123</f>
        <v>2669.3280000000004</v>
      </c>
      <c r="D106" s="58">
        <f t="shared" ref="D106:L106" si="67">D110+D120+D123</f>
        <v>419.80000000000007</v>
      </c>
      <c r="E106" s="58">
        <f>E110+E120+E123+0.1</f>
        <v>5952.1496559999996</v>
      </c>
      <c r="F106" s="58">
        <f t="shared" si="67"/>
        <v>34.299999999999997</v>
      </c>
      <c r="G106" s="58">
        <f>G110+G120+G123</f>
        <v>367.92923999999999</v>
      </c>
      <c r="H106" s="58">
        <f t="shared" si="67"/>
        <v>1624.6</v>
      </c>
      <c r="I106" s="58">
        <f>I110+I120+I123+0.1</f>
        <v>144.81876800000003</v>
      </c>
      <c r="J106" s="58">
        <f t="shared" si="67"/>
        <v>1624.6</v>
      </c>
      <c r="K106" s="58">
        <f>K110+K120+K123</f>
        <v>245.48413600000003</v>
      </c>
      <c r="L106" s="58">
        <f t="shared" si="67"/>
        <v>0</v>
      </c>
      <c r="M106" s="58">
        <f>M110+M120+M123</f>
        <v>53.599999999999994</v>
      </c>
      <c r="N106" s="57">
        <f>SUM(C106,E106,G106,I106,K106)+M106-0.1</f>
        <v>9433.2097999999969</v>
      </c>
      <c r="O106" s="68"/>
      <c r="P106" s="68">
        <f>H106-J106</f>
        <v>0</v>
      </c>
    </row>
    <row r="107" spans="1:20" s="69" customFormat="1" ht="19.5" thickBot="1" x14ac:dyDescent="0.35">
      <c r="A107" s="77" t="s">
        <v>15</v>
      </c>
      <c r="B107" s="78"/>
      <c r="C107" s="78"/>
      <c r="D107" s="78"/>
      <c r="E107" s="78"/>
      <c r="F107" s="78"/>
      <c r="G107" s="78"/>
      <c r="H107" s="78"/>
      <c r="I107" s="78"/>
      <c r="J107" s="78"/>
      <c r="K107" s="78"/>
      <c r="L107" s="78"/>
      <c r="M107" s="78"/>
      <c r="N107" s="79"/>
      <c r="O107" s="68"/>
      <c r="P107" s="68"/>
    </row>
    <row r="108" spans="1:20" s="69" customFormat="1" ht="38.25" thickBot="1" x14ac:dyDescent="0.35">
      <c r="A108" s="56" t="s">
        <v>100</v>
      </c>
      <c r="B108" s="57">
        <f>B109+B110</f>
        <v>44</v>
      </c>
      <c r="C108" s="57">
        <f t="shared" ref="C108:K108" si="68">C109+C110</f>
        <v>390.72</v>
      </c>
      <c r="D108" s="57">
        <f t="shared" si="68"/>
        <v>466.80000000000007</v>
      </c>
      <c r="E108" s="57">
        <f>E109+E110</f>
        <v>8204.9122840000018</v>
      </c>
      <c r="F108" s="57">
        <f t="shared" si="68"/>
        <v>0.6</v>
      </c>
      <c r="G108" s="57">
        <f>G109+G110</f>
        <v>6.2052479999999992</v>
      </c>
      <c r="H108" s="57">
        <f t="shared" si="68"/>
        <v>103.6</v>
      </c>
      <c r="I108" s="57">
        <f t="shared" si="68"/>
        <v>7.4857280000000017</v>
      </c>
      <c r="J108" s="57">
        <f t="shared" si="68"/>
        <v>103.6</v>
      </c>
      <c r="K108" s="57">
        <f t="shared" si="68"/>
        <v>13.41178</v>
      </c>
      <c r="L108" s="57">
        <v>0</v>
      </c>
      <c r="M108" s="57">
        <f t="shared" ref="M108" si="69">M109+M110</f>
        <v>30</v>
      </c>
      <c r="N108" s="57">
        <f>SUM(C108,E108,G108,I108,K108)+M108</f>
        <v>8652.7350400000014</v>
      </c>
      <c r="O108" s="68"/>
      <c r="P108" s="68"/>
    </row>
    <row r="109" spans="1:20" s="69" customFormat="1" ht="19.5" thickBot="1" x14ac:dyDescent="0.35">
      <c r="A109" s="56" t="s">
        <v>11</v>
      </c>
      <c r="B109" s="58">
        <f>B113+B116</f>
        <v>25.799999999999997</v>
      </c>
      <c r="C109" s="58">
        <f>C113+C116</f>
        <v>229.10400000000001</v>
      </c>
      <c r="D109" s="58">
        <f t="shared" ref="D109:J109" si="70">D113+D116</f>
        <v>309.20000000000005</v>
      </c>
      <c r="E109" s="58">
        <f>E113+E116+0.1</f>
        <v>5065.4295880000009</v>
      </c>
      <c r="F109" s="58">
        <f t="shared" si="70"/>
        <v>0.3</v>
      </c>
      <c r="G109" s="58">
        <f>G113+G116</f>
        <v>2.9872079999999994</v>
      </c>
      <c r="H109" s="58">
        <f t="shared" si="70"/>
        <v>52</v>
      </c>
      <c r="I109" s="58">
        <f>I113+I116+0.1</f>
        <v>2.8268800000000005</v>
      </c>
      <c r="J109" s="58">
        <f t="shared" si="70"/>
        <v>52</v>
      </c>
      <c r="K109" s="58">
        <f>K113+K116</f>
        <v>5.5764840000000007</v>
      </c>
      <c r="L109" s="58">
        <v>0</v>
      </c>
      <c r="M109" s="58">
        <v>14.7</v>
      </c>
      <c r="N109" s="57">
        <f t="shared" ref="N109" si="71">SUM(C109,E109,G109,I109,K109)+M109</f>
        <v>5320.6241600000003</v>
      </c>
      <c r="O109" s="68"/>
      <c r="P109" s="68">
        <f>H109-J109</f>
        <v>0</v>
      </c>
    </row>
    <row r="110" spans="1:20" s="69" customFormat="1" ht="19.5" thickBot="1" x14ac:dyDescent="0.35">
      <c r="A110" s="56" t="s">
        <v>12</v>
      </c>
      <c r="B110" s="58">
        <f>B114+B117</f>
        <v>18.2</v>
      </c>
      <c r="C110" s="58">
        <f>C114+C117</f>
        <v>161.61600000000001</v>
      </c>
      <c r="D110" s="58">
        <f t="shared" ref="D110:J110" si="72">D114+D117</f>
        <v>157.60000000000002</v>
      </c>
      <c r="E110" s="58">
        <f>E114+E117</f>
        <v>3139.482696</v>
      </c>
      <c r="F110" s="58">
        <f t="shared" si="72"/>
        <v>0.3</v>
      </c>
      <c r="G110" s="58">
        <f>G114+G117</f>
        <v>3.2180399999999993</v>
      </c>
      <c r="H110" s="58">
        <f t="shared" si="72"/>
        <v>51.6</v>
      </c>
      <c r="I110" s="58">
        <f>I114+I117</f>
        <v>4.6588480000000008</v>
      </c>
      <c r="J110" s="58">
        <f t="shared" si="72"/>
        <v>51.6</v>
      </c>
      <c r="K110" s="58">
        <f>K114+K117</f>
        <v>7.8352960000000005</v>
      </c>
      <c r="L110" s="57">
        <v>0</v>
      </c>
      <c r="M110" s="57">
        <v>15.3</v>
      </c>
      <c r="N110" s="57">
        <f>SUM(C110,E110,G110,I110,K110)+M110</f>
        <v>3332.1108800000006</v>
      </c>
      <c r="O110" s="68"/>
      <c r="P110" s="68">
        <f>H110-J110</f>
        <v>0</v>
      </c>
    </row>
    <row r="111" spans="1:20" s="69" customFormat="1" ht="19.5" thickBot="1" x14ac:dyDescent="0.35">
      <c r="A111" s="77" t="s">
        <v>15</v>
      </c>
      <c r="B111" s="78"/>
      <c r="C111" s="78"/>
      <c r="D111" s="78"/>
      <c r="E111" s="78"/>
      <c r="F111" s="78"/>
      <c r="G111" s="78"/>
      <c r="H111" s="78"/>
      <c r="I111" s="78"/>
      <c r="J111" s="78"/>
      <c r="K111" s="78"/>
      <c r="L111" s="78"/>
      <c r="M111" s="78"/>
      <c r="N111" s="79"/>
      <c r="O111" s="68"/>
      <c r="P111" s="68"/>
    </row>
    <row r="112" spans="1:20" s="69" customFormat="1" ht="57" thickBot="1" x14ac:dyDescent="0.35">
      <c r="A112" s="56" t="s">
        <v>101</v>
      </c>
      <c r="B112" s="57">
        <f>B113+B114</f>
        <v>35.1</v>
      </c>
      <c r="C112" s="57">
        <f t="shared" ref="C112:M112" si="73">C113+C114</f>
        <v>311.68799999999999</v>
      </c>
      <c r="D112" s="57">
        <f t="shared" si="73"/>
        <v>165.60000000000002</v>
      </c>
      <c r="E112" s="57">
        <f>E113+E114+0.1</f>
        <v>1691.1271839999997</v>
      </c>
      <c r="F112" s="57">
        <f t="shared" si="73"/>
        <v>0.6</v>
      </c>
      <c r="G112" s="57">
        <f t="shared" si="73"/>
        <v>6.2052479999999992</v>
      </c>
      <c r="H112" s="57">
        <f t="shared" si="73"/>
        <v>98.300000000000011</v>
      </c>
      <c r="I112" s="57">
        <f>I113+I114+0.1</f>
        <v>7.1287720000000014</v>
      </c>
      <c r="J112" s="57">
        <f t="shared" si="73"/>
        <v>98.300000000000011</v>
      </c>
      <c r="K112" s="57">
        <f t="shared" si="73"/>
        <v>12.635580000000001</v>
      </c>
      <c r="L112" s="57">
        <f t="shared" si="73"/>
        <v>0</v>
      </c>
      <c r="M112" s="57">
        <f t="shared" si="73"/>
        <v>30</v>
      </c>
      <c r="N112" s="57">
        <f>N113+N114</f>
        <v>2058.6847839999996</v>
      </c>
      <c r="O112" s="68"/>
      <c r="P112" s="68"/>
    </row>
    <row r="113" spans="1:16" s="69" customFormat="1" ht="19.5" thickBot="1" x14ac:dyDescent="0.35">
      <c r="A113" s="56" t="s">
        <v>11</v>
      </c>
      <c r="B113" s="58">
        <v>20.2</v>
      </c>
      <c r="C113" s="58">
        <f>B113*ТАРИФЫ!F21</f>
        <v>179.376</v>
      </c>
      <c r="D113" s="57">
        <v>110.9</v>
      </c>
      <c r="E113" s="58">
        <f>D113*ТАРИФЫ!F5/1000</f>
        <v>1104.2712239999998</v>
      </c>
      <c r="F113" s="57">
        <v>0.3</v>
      </c>
      <c r="G113" s="57">
        <f>F113*ТАРИФЫ!F5/1000</f>
        <v>2.9872079999999994</v>
      </c>
      <c r="H113" s="57">
        <v>47.1</v>
      </c>
      <c r="I113" s="57">
        <f>H113*ТАРИФЫ!F10/1000</f>
        <v>2.4699240000000002</v>
      </c>
      <c r="J113" s="57">
        <f>H113</f>
        <v>47.1</v>
      </c>
      <c r="K113" s="57">
        <f>J113*ТАРИФЫ!F15/1000</f>
        <v>4.900284000000001</v>
      </c>
      <c r="L113" s="57">
        <v>0</v>
      </c>
      <c r="M113" s="57">
        <v>14.7</v>
      </c>
      <c r="N113" s="57">
        <f>SUM(C113,E113,G113,I113,K113)+M113+0.1</f>
        <v>1308.8046399999998</v>
      </c>
      <c r="O113" s="68" t="s">
        <v>54</v>
      </c>
      <c r="P113" s="68">
        <f>H113-J113</f>
        <v>0</v>
      </c>
    </row>
    <row r="114" spans="1:16" s="69" customFormat="1" ht="19.5" thickBot="1" x14ac:dyDescent="0.35">
      <c r="A114" s="56" t="s">
        <v>12</v>
      </c>
      <c r="B114" s="58">
        <v>14.9</v>
      </c>
      <c r="C114" s="58">
        <f>B114*ТАРИФЫ!F21</f>
        <v>132.31200000000001</v>
      </c>
      <c r="D114" s="57">
        <v>54.7</v>
      </c>
      <c r="E114" s="57">
        <f>D114*ТАРИФЫ!G5/1000</f>
        <v>586.75595999999996</v>
      </c>
      <c r="F114" s="57">
        <v>0.3</v>
      </c>
      <c r="G114" s="57">
        <f>F114*ТАРИФЫ!G5/1000</f>
        <v>3.2180399999999993</v>
      </c>
      <c r="H114" s="57">
        <v>51.2</v>
      </c>
      <c r="I114" s="57">
        <f>H114*ТАРИФЫ!G10/1000</f>
        <v>4.5588480000000011</v>
      </c>
      <c r="J114" s="57">
        <f>H114</f>
        <v>51.2</v>
      </c>
      <c r="K114" s="57">
        <f>J114*ТАРИФЫ!G15/1000</f>
        <v>7.7352960000000008</v>
      </c>
      <c r="L114" s="57">
        <v>0</v>
      </c>
      <c r="M114" s="57">
        <v>15.3</v>
      </c>
      <c r="N114" s="57">
        <f>SUM(C114,E114,G114,I114,K114)+M114</f>
        <v>749.88014399999986</v>
      </c>
      <c r="O114" s="68" t="s">
        <v>54</v>
      </c>
      <c r="P114" s="68">
        <f>H114-J114</f>
        <v>0</v>
      </c>
    </row>
    <row r="115" spans="1:16" s="69" customFormat="1" ht="75.75" thickBot="1" x14ac:dyDescent="0.35">
      <c r="A115" s="58" t="s">
        <v>97</v>
      </c>
      <c r="B115" s="57">
        <f>B116+B117</f>
        <v>8.8999999999999986</v>
      </c>
      <c r="C115" s="57">
        <f t="shared" ref="C115:K115" si="74">C116+C117</f>
        <v>79.032000000000011</v>
      </c>
      <c r="D115" s="57">
        <f t="shared" si="74"/>
        <v>301.20000000000005</v>
      </c>
      <c r="E115" s="57">
        <f>E116+E117</f>
        <v>6513.785100000001</v>
      </c>
      <c r="F115" s="57">
        <f t="shared" si="74"/>
        <v>0</v>
      </c>
      <c r="G115" s="57">
        <f t="shared" si="74"/>
        <v>0</v>
      </c>
      <c r="H115" s="57">
        <f t="shared" si="74"/>
        <v>5.3000000000000007</v>
      </c>
      <c r="I115" s="57">
        <f t="shared" si="74"/>
        <v>0.35695600000000005</v>
      </c>
      <c r="J115" s="57">
        <f t="shared" si="74"/>
        <v>5.3000000000000007</v>
      </c>
      <c r="K115" s="57">
        <f t="shared" si="74"/>
        <v>0.7762</v>
      </c>
      <c r="L115" s="57">
        <v>0</v>
      </c>
      <c r="M115" s="57">
        <v>0</v>
      </c>
      <c r="N115" s="57">
        <f>SUM(C115,E115,G115,I115,K115)+M115</f>
        <v>6593.950256000001</v>
      </c>
      <c r="O115" s="62"/>
      <c r="P115" s="68"/>
    </row>
    <row r="116" spans="1:16" s="69" customFormat="1" ht="19.5" thickBot="1" x14ac:dyDescent="0.35">
      <c r="A116" s="56" t="s">
        <v>11</v>
      </c>
      <c r="B116" s="56">
        <v>5.6</v>
      </c>
      <c r="C116" s="58">
        <f>B116*ТАРИФЫ!F21</f>
        <v>49.728000000000002</v>
      </c>
      <c r="D116" s="57">
        <v>198.3</v>
      </c>
      <c r="E116" s="58">
        <f>D116*ТАРИФЫ!F7/1000</f>
        <v>3961.0583640000004</v>
      </c>
      <c r="F116" s="57">
        <v>0</v>
      </c>
      <c r="G116" s="58">
        <v>0</v>
      </c>
      <c r="H116" s="57">
        <v>4.9000000000000004</v>
      </c>
      <c r="I116" s="58">
        <f>H116*ТАРИФЫ!F12/1000</f>
        <v>0.25695600000000002</v>
      </c>
      <c r="J116" s="57">
        <f t="shared" ref="J116:J117" si="75">H116</f>
        <v>4.9000000000000004</v>
      </c>
      <c r="K116" s="58">
        <f>J116*ТАРИФЫ!F17/1000</f>
        <v>0.67620000000000002</v>
      </c>
      <c r="L116" s="57">
        <v>0</v>
      </c>
      <c r="M116" s="57">
        <v>0</v>
      </c>
      <c r="N116" s="57">
        <f>SUM(C116,E116,G116,I116,K116)+M116+0.1</f>
        <v>4011.8195200000005</v>
      </c>
      <c r="O116" s="68" t="s">
        <v>57</v>
      </c>
      <c r="P116" s="68">
        <f>H116-J116</f>
        <v>0</v>
      </c>
    </row>
    <row r="117" spans="1:16" s="69" customFormat="1" ht="19.5" thickBot="1" x14ac:dyDescent="0.35">
      <c r="A117" s="56" t="s">
        <v>12</v>
      </c>
      <c r="B117" s="58">
        <v>3.3</v>
      </c>
      <c r="C117" s="58">
        <f>B117*ТАРИФЫ!F21</f>
        <v>29.304000000000002</v>
      </c>
      <c r="D117" s="57">
        <v>102.9</v>
      </c>
      <c r="E117" s="58">
        <f>D117*ТАРИФЫ!G7/1000</f>
        <v>2552.7267360000001</v>
      </c>
      <c r="F117" s="57">
        <v>0</v>
      </c>
      <c r="G117" s="58">
        <v>0</v>
      </c>
      <c r="H117" s="57">
        <v>0.4</v>
      </c>
      <c r="I117" s="58">
        <v>0.1</v>
      </c>
      <c r="J117" s="57">
        <f t="shared" si="75"/>
        <v>0.4</v>
      </c>
      <c r="K117" s="58">
        <v>0.1</v>
      </c>
      <c r="L117" s="57">
        <v>0</v>
      </c>
      <c r="M117" s="57">
        <v>0</v>
      </c>
      <c r="N117" s="57">
        <f t="shared" ref="N117" si="76">SUM(C117,E117,G117,I117,K117)+M117</f>
        <v>2582.230736</v>
      </c>
      <c r="O117" s="68" t="s">
        <v>57</v>
      </c>
      <c r="P117" s="68">
        <f>H117-J117</f>
        <v>0</v>
      </c>
    </row>
    <row r="118" spans="1:16" s="69" customFormat="1" ht="57" thickBot="1" x14ac:dyDescent="0.35">
      <c r="A118" s="58" t="s">
        <v>102</v>
      </c>
      <c r="B118" s="57">
        <f>B119+B120</f>
        <v>359.8</v>
      </c>
      <c r="C118" s="57">
        <f t="shared" ref="C118:J118" si="77">C119+C120</f>
        <v>3195.0240000000003</v>
      </c>
      <c r="D118" s="57">
        <f t="shared" si="77"/>
        <v>215.2</v>
      </c>
      <c r="E118" s="57">
        <f>E119+E120</f>
        <v>2220.6142559999998</v>
      </c>
      <c r="F118" s="57">
        <f t="shared" si="77"/>
        <v>71.2</v>
      </c>
      <c r="G118" s="57">
        <f>G119+G120</f>
        <v>732.81667199999993</v>
      </c>
      <c r="H118" s="57">
        <f t="shared" si="77"/>
        <v>2772</v>
      </c>
      <c r="I118" s="57">
        <f>I119+I120</f>
        <v>198.50688000000002</v>
      </c>
      <c r="J118" s="57">
        <f t="shared" si="77"/>
        <v>2772</v>
      </c>
      <c r="K118" s="57">
        <f>K119+K120</f>
        <v>356.70096000000007</v>
      </c>
      <c r="L118" s="57">
        <v>0</v>
      </c>
      <c r="M118" s="57">
        <f t="shared" ref="M118" si="78">M119+M120</f>
        <v>26.7</v>
      </c>
      <c r="N118" s="57">
        <f>SUM(C118,E118,G118,I118,K118)+M118-0.1</f>
        <v>6730.2627679999996</v>
      </c>
      <c r="O118" s="68"/>
      <c r="P118" s="68"/>
    </row>
    <row r="119" spans="1:16" s="69" customFormat="1" ht="19.5" thickBot="1" x14ac:dyDescent="0.35">
      <c r="A119" s="56" t="s">
        <v>11</v>
      </c>
      <c r="B119" s="58">
        <v>179.9</v>
      </c>
      <c r="C119" s="58">
        <f>B119*ТАРИФЫ!F21</f>
        <v>1597.5120000000002</v>
      </c>
      <c r="D119" s="57">
        <v>114.1</v>
      </c>
      <c r="E119" s="58">
        <f>D119*ТАРИФЫ!F5/1000</f>
        <v>1136.1347759999999</v>
      </c>
      <c r="F119" s="57">
        <v>40.200000000000003</v>
      </c>
      <c r="G119" s="58">
        <f>F119*ТАРИФЫ!F5/1000</f>
        <v>400.28587199999998</v>
      </c>
      <c r="H119" s="57">
        <v>1320</v>
      </c>
      <c r="I119" s="57">
        <f>H119*ТАРИФЫ!F10/1000</f>
        <v>69.220799999999997</v>
      </c>
      <c r="J119" s="57">
        <f t="shared" ref="J119:J120" si="79">H119</f>
        <v>1320</v>
      </c>
      <c r="K119" s="57">
        <f>J119*ТАРИФЫ!F15/1000</f>
        <v>137.33280000000002</v>
      </c>
      <c r="L119" s="57">
        <v>0</v>
      </c>
      <c r="M119" s="57">
        <v>13.1</v>
      </c>
      <c r="N119" s="57">
        <f>SUM(C119,E119,G119,I119,K119)+M119-0.1</f>
        <v>3353.4862480000002</v>
      </c>
      <c r="O119" s="68" t="s">
        <v>54</v>
      </c>
      <c r="P119" s="68">
        <f>H119-J119</f>
        <v>0</v>
      </c>
    </row>
    <row r="120" spans="1:16" s="69" customFormat="1" ht="19.5" thickBot="1" x14ac:dyDescent="0.35">
      <c r="A120" s="56" t="s">
        <v>12</v>
      </c>
      <c r="B120" s="58">
        <v>179.9</v>
      </c>
      <c r="C120" s="58">
        <f>B120*ТАРИФЫ!F21</f>
        <v>1597.5120000000002</v>
      </c>
      <c r="D120" s="57">
        <v>101.1</v>
      </c>
      <c r="E120" s="57">
        <f>D120*ТАРИФЫ!G5/1000</f>
        <v>1084.47948</v>
      </c>
      <c r="F120" s="57">
        <v>31</v>
      </c>
      <c r="G120" s="57">
        <f>F120*ТАРИФЫ!G5/1000</f>
        <v>332.5308</v>
      </c>
      <c r="H120" s="57">
        <v>1452</v>
      </c>
      <c r="I120" s="57">
        <f>H120*ТАРИФЫ!G10/1000</f>
        <v>129.28608000000003</v>
      </c>
      <c r="J120" s="57">
        <f t="shared" si="79"/>
        <v>1452</v>
      </c>
      <c r="K120" s="57">
        <f>J120*ТАРИФЫ!G15/1000</f>
        <v>219.36816000000005</v>
      </c>
      <c r="L120" s="57">
        <v>0</v>
      </c>
      <c r="M120" s="57">
        <v>13.6</v>
      </c>
      <c r="N120" s="57">
        <f>SUM(C120,E120,G120,I120,K120)+M120</f>
        <v>3376.7765199999999</v>
      </c>
      <c r="O120" s="68" t="s">
        <v>54</v>
      </c>
      <c r="P120" s="68">
        <f>H120-J120</f>
        <v>0</v>
      </c>
    </row>
    <row r="121" spans="1:16" s="69" customFormat="1" ht="57" thickBot="1" x14ac:dyDescent="0.35">
      <c r="A121" s="58" t="s">
        <v>103</v>
      </c>
      <c r="B121" s="57">
        <f>B122+B123</f>
        <v>205.1</v>
      </c>
      <c r="C121" s="57">
        <f>C122+C123</f>
        <v>1821.288</v>
      </c>
      <c r="D121" s="57">
        <f t="shared" ref="D121:K121" si="80">D122+D123</f>
        <v>551.20000000000005</v>
      </c>
      <c r="E121" s="57">
        <f>E122+E123</f>
        <v>5612.4536159999998</v>
      </c>
      <c r="F121" s="57">
        <f t="shared" si="80"/>
        <v>6.2</v>
      </c>
      <c r="G121" s="57">
        <f>G122+G123+0.1</f>
        <v>64.143951999999985</v>
      </c>
      <c r="H121" s="57">
        <f t="shared" si="80"/>
        <v>361</v>
      </c>
      <c r="I121" s="57">
        <f>I122+I123</f>
        <v>23.359439999999999</v>
      </c>
      <c r="J121" s="57">
        <f t="shared" si="80"/>
        <v>361</v>
      </c>
      <c r="K121" s="57">
        <f t="shared" si="80"/>
        <v>43.250280000000004</v>
      </c>
      <c r="L121" s="57">
        <v>0</v>
      </c>
      <c r="M121" s="57">
        <f t="shared" ref="M121" si="81">M122+M123</f>
        <v>48.4</v>
      </c>
      <c r="N121" s="57">
        <f>SUM(C121,E121,G121,I121,K121)+M121+0.1</f>
        <v>7612.9952880000001</v>
      </c>
      <c r="O121" s="68"/>
      <c r="P121" s="68"/>
    </row>
    <row r="122" spans="1:16" s="69" customFormat="1" ht="19.5" thickBot="1" x14ac:dyDescent="0.35">
      <c r="A122" s="56" t="s">
        <v>11</v>
      </c>
      <c r="B122" s="58">
        <v>102.6</v>
      </c>
      <c r="C122" s="58">
        <f>B122*ТАРИФЫ!F21</f>
        <v>911.08800000000008</v>
      </c>
      <c r="D122" s="57">
        <v>390.1</v>
      </c>
      <c r="E122" s="58">
        <f>D122*ТАРИФЫ!F5/1000</f>
        <v>3884.3661360000001</v>
      </c>
      <c r="F122" s="57">
        <v>3.2</v>
      </c>
      <c r="G122" s="57">
        <f>F122*ТАРИФЫ!F5/1000</f>
        <v>31.863551999999995</v>
      </c>
      <c r="H122" s="57">
        <v>240</v>
      </c>
      <c r="I122" s="57">
        <f>H122*ТАРИФЫ!F10/1000</f>
        <v>12.585600000000001</v>
      </c>
      <c r="J122" s="57">
        <f t="shared" ref="J122:J123" si="82">H122</f>
        <v>240</v>
      </c>
      <c r="K122" s="57">
        <f>J122*ТАРИФЫ!F15/1000</f>
        <v>24.969600000000003</v>
      </c>
      <c r="L122" s="57">
        <v>0</v>
      </c>
      <c r="M122" s="57">
        <v>23.7</v>
      </c>
      <c r="N122" s="57">
        <f>SUM(C122,E122,G122,I122,K122)+M122+0.1</f>
        <v>4888.672888000001</v>
      </c>
      <c r="O122" s="68" t="s">
        <v>54</v>
      </c>
      <c r="P122" s="68">
        <f>H122-J122</f>
        <v>0</v>
      </c>
    </row>
    <row r="123" spans="1:16" s="69" customFormat="1" ht="19.5" thickBot="1" x14ac:dyDescent="0.35">
      <c r="A123" s="56" t="s">
        <v>12</v>
      </c>
      <c r="B123" s="58">
        <v>102.5</v>
      </c>
      <c r="C123" s="58">
        <f>B123*ТАРИФЫ!F21</f>
        <v>910.2</v>
      </c>
      <c r="D123" s="57">
        <v>161.1</v>
      </c>
      <c r="E123" s="57">
        <f>D123*ТАРИФЫ!G5/1000</f>
        <v>1728.0874799999997</v>
      </c>
      <c r="F123" s="57">
        <v>3</v>
      </c>
      <c r="G123" s="57">
        <f>F123*ТАРИФЫ!G5/1000</f>
        <v>32.180399999999999</v>
      </c>
      <c r="H123" s="57">
        <v>121</v>
      </c>
      <c r="I123" s="57">
        <f>H123*ТАРИФЫ!G10/1000</f>
        <v>10.77384</v>
      </c>
      <c r="J123" s="57">
        <f t="shared" si="82"/>
        <v>121</v>
      </c>
      <c r="K123" s="57">
        <f>J123*ТАРИФЫ!G15/1000</f>
        <v>18.28068</v>
      </c>
      <c r="L123" s="57">
        <v>0</v>
      </c>
      <c r="M123" s="57">
        <v>24.7</v>
      </c>
      <c r="N123" s="57">
        <f>SUM(C123,E123,G123,I123,K123)+M123+0.1</f>
        <v>2724.3223999999996</v>
      </c>
      <c r="O123" s="68" t="s">
        <v>54</v>
      </c>
      <c r="P123" s="68">
        <f>H123-J123</f>
        <v>0</v>
      </c>
    </row>
    <row r="124" spans="1:16" s="69" customFormat="1" ht="19.5" thickBot="1" x14ac:dyDescent="0.35">
      <c r="A124" s="77" t="s">
        <v>18</v>
      </c>
      <c r="B124" s="78"/>
      <c r="C124" s="78"/>
      <c r="D124" s="78"/>
      <c r="E124" s="78"/>
      <c r="F124" s="78"/>
      <c r="G124" s="78"/>
      <c r="H124" s="78"/>
      <c r="I124" s="78"/>
      <c r="J124" s="78"/>
      <c r="K124" s="78"/>
      <c r="L124" s="78"/>
      <c r="M124" s="78"/>
      <c r="N124" s="79"/>
      <c r="O124" s="68"/>
      <c r="P124" s="68"/>
    </row>
    <row r="125" spans="1:16" s="69" customFormat="1" ht="57" thickBot="1" x14ac:dyDescent="0.35">
      <c r="A125" s="56" t="s">
        <v>78</v>
      </c>
      <c r="B125" s="57">
        <f t="shared" ref="B125:K125" si="83">SUM(B126:B127)</f>
        <v>12.228999999999999</v>
      </c>
      <c r="C125" s="58">
        <f>SUM(C126:C127)</f>
        <v>108.59352</v>
      </c>
      <c r="D125" s="57">
        <f t="shared" si="83"/>
        <v>48.066000000000003</v>
      </c>
      <c r="E125" s="57">
        <f t="shared" si="83"/>
        <v>493.89328799999998</v>
      </c>
      <c r="F125" s="57">
        <f t="shared" si="83"/>
        <v>0.65500000000000003</v>
      </c>
      <c r="G125" s="57">
        <f t="shared" si="83"/>
        <v>6.8054171199999995</v>
      </c>
      <c r="H125" s="57">
        <f t="shared" si="83"/>
        <v>27.173999999999999</v>
      </c>
      <c r="I125" s="57">
        <f t="shared" si="83"/>
        <v>2</v>
      </c>
      <c r="J125" s="57">
        <f t="shared" si="83"/>
        <v>27.231999999999999</v>
      </c>
      <c r="K125" s="57">
        <f t="shared" si="83"/>
        <v>3.4</v>
      </c>
      <c r="L125" s="57">
        <v>0</v>
      </c>
      <c r="M125" s="57">
        <v>0</v>
      </c>
      <c r="N125" s="57">
        <f t="shared" ref="N125:N127" si="84">SUM(C125,E125,G125,I125,K125)+M125</f>
        <v>614.69222511999999</v>
      </c>
      <c r="O125" s="68"/>
      <c r="P125" s="68"/>
    </row>
    <row r="126" spans="1:16" s="69" customFormat="1" ht="19.5" thickBot="1" x14ac:dyDescent="0.35">
      <c r="A126" s="56" t="s">
        <v>11</v>
      </c>
      <c r="B126" s="64">
        <v>6.1</v>
      </c>
      <c r="C126" s="58">
        <f>B126*ТАРИФЫ!F21</f>
        <v>54.167999999999999</v>
      </c>
      <c r="D126" s="57">
        <v>28.3</v>
      </c>
      <c r="E126" s="57">
        <f>D126*ТАРИФЫ!F5/1000</f>
        <v>281.79328800000002</v>
      </c>
      <c r="F126" s="57">
        <v>0.34200000000000003</v>
      </c>
      <c r="G126" s="57">
        <f>F126*ТАРИФЫ!F5/1000</f>
        <v>3.4054171199999996</v>
      </c>
      <c r="H126" s="57">
        <v>13.842000000000001</v>
      </c>
      <c r="I126" s="57">
        <f>ROUNDUP(H126*ТАРИФЫ!$F$10/1000,1)</f>
        <v>0.79999999999999993</v>
      </c>
      <c r="J126" s="57">
        <v>13.9</v>
      </c>
      <c r="K126" s="57">
        <f>ROUND(J126*ТАРИФЫ!$F$15/1000,1)</f>
        <v>1.4</v>
      </c>
      <c r="L126" s="57">
        <v>0</v>
      </c>
      <c r="M126" s="57">
        <v>0</v>
      </c>
      <c r="N126" s="57">
        <f t="shared" si="84"/>
        <v>341.56670511999999</v>
      </c>
      <c r="O126" s="68" t="s">
        <v>54</v>
      </c>
      <c r="P126" s="68">
        <f>H126-J126</f>
        <v>-5.7999999999999829E-2</v>
      </c>
    </row>
    <row r="127" spans="1:16" s="69" customFormat="1" ht="19.5" thickBot="1" x14ac:dyDescent="0.35">
      <c r="A127" s="56" t="s">
        <v>12</v>
      </c>
      <c r="B127" s="64">
        <v>6.1289999999999996</v>
      </c>
      <c r="C127" s="58">
        <f>B127*ТАРИФЫ!F21</f>
        <v>54.425519999999999</v>
      </c>
      <c r="D127" s="57">
        <v>19.765999999999998</v>
      </c>
      <c r="E127" s="57">
        <f>ROUNDUP(D127*ТАРИФЫ!$G$5/1000,1)</f>
        <v>212.1</v>
      </c>
      <c r="F127" s="57">
        <v>0.313</v>
      </c>
      <c r="G127" s="57">
        <f>ROUNDUP(F127*ТАРИФЫ!$G$5/1000,1)</f>
        <v>3.4</v>
      </c>
      <c r="H127" s="57">
        <v>13.332000000000001</v>
      </c>
      <c r="I127" s="57">
        <f>ROUND(H127*ТАРИФЫ!$G$10/1000,1)</f>
        <v>1.2</v>
      </c>
      <c r="J127" s="57">
        <v>13.332000000000001</v>
      </c>
      <c r="K127" s="57">
        <f>ROUND(J127*ТАРИФЫ!$G$15/1000,1)</f>
        <v>2</v>
      </c>
      <c r="L127" s="57">
        <v>0</v>
      </c>
      <c r="M127" s="57">
        <v>0</v>
      </c>
      <c r="N127" s="57">
        <f t="shared" si="84"/>
        <v>273.12551999999994</v>
      </c>
      <c r="O127" s="68" t="s">
        <v>54</v>
      </c>
      <c r="P127" s="68">
        <f>H127-J127</f>
        <v>0</v>
      </c>
    </row>
    <row r="128" spans="1:16" s="69" customFormat="1" ht="19.5" thickBot="1" x14ac:dyDescent="0.35">
      <c r="A128" s="77" t="s">
        <v>19</v>
      </c>
      <c r="B128" s="78"/>
      <c r="C128" s="78"/>
      <c r="D128" s="78"/>
      <c r="E128" s="78"/>
      <c r="F128" s="78"/>
      <c r="G128" s="78"/>
      <c r="H128" s="78"/>
      <c r="I128" s="78"/>
      <c r="J128" s="78"/>
      <c r="K128" s="78"/>
      <c r="L128" s="78"/>
      <c r="M128" s="78"/>
      <c r="N128" s="79"/>
      <c r="O128" s="68"/>
      <c r="P128" s="68"/>
    </row>
    <row r="129" spans="1:22" s="69" customFormat="1" ht="132" thickBot="1" x14ac:dyDescent="0.35">
      <c r="A129" s="56" t="s">
        <v>46</v>
      </c>
      <c r="B129" s="58">
        <f>B130+B131</f>
        <v>607.90000000000009</v>
      </c>
      <c r="C129" s="58">
        <f>C130+C131-0.1</f>
        <v>5398.0519999999997</v>
      </c>
      <c r="D129" s="58">
        <f t="shared" ref="D129:K129" si="85">D130+D131</f>
        <v>0</v>
      </c>
      <c r="E129" s="58">
        <v>0</v>
      </c>
      <c r="F129" s="58">
        <f t="shared" si="85"/>
        <v>0</v>
      </c>
      <c r="G129" s="58">
        <f t="shared" si="85"/>
        <v>0</v>
      </c>
      <c r="H129" s="58">
        <f t="shared" si="85"/>
        <v>0</v>
      </c>
      <c r="I129" s="58">
        <f t="shared" si="85"/>
        <v>0</v>
      </c>
      <c r="J129" s="58">
        <f t="shared" si="85"/>
        <v>0</v>
      </c>
      <c r="K129" s="58">
        <f t="shared" si="85"/>
        <v>0</v>
      </c>
      <c r="L129" s="58">
        <v>0</v>
      </c>
      <c r="M129" s="58">
        <v>0</v>
      </c>
      <c r="N129" s="57">
        <f t="shared" ref="N129" si="86">SUM(C129,E129,G129,I129,K129)+M129</f>
        <v>5398.0519999999997</v>
      </c>
      <c r="O129" s="68"/>
      <c r="P129" s="68"/>
    </row>
    <row r="130" spans="1:22" s="69" customFormat="1" ht="19.5" thickBot="1" x14ac:dyDescent="0.35">
      <c r="A130" s="56" t="s">
        <v>11</v>
      </c>
      <c r="B130" s="64">
        <f>B134+B137</f>
        <v>288.10000000000002</v>
      </c>
      <c r="C130" s="64">
        <f>C134+C137</f>
        <v>2558.3280000000004</v>
      </c>
      <c r="D130" s="64">
        <f t="shared" ref="D130:M130" si="87">D134+D137</f>
        <v>0</v>
      </c>
      <c r="E130" s="64">
        <f t="shared" si="87"/>
        <v>0</v>
      </c>
      <c r="F130" s="64">
        <f t="shared" si="87"/>
        <v>0</v>
      </c>
      <c r="G130" s="64">
        <f t="shared" si="87"/>
        <v>0</v>
      </c>
      <c r="H130" s="64">
        <f t="shared" si="87"/>
        <v>0</v>
      </c>
      <c r="I130" s="64">
        <f t="shared" si="87"/>
        <v>0</v>
      </c>
      <c r="J130" s="64">
        <f t="shared" si="87"/>
        <v>0</v>
      </c>
      <c r="K130" s="64">
        <f t="shared" si="87"/>
        <v>0</v>
      </c>
      <c r="L130" s="64">
        <f t="shared" si="87"/>
        <v>0</v>
      </c>
      <c r="M130" s="64">
        <f t="shared" si="87"/>
        <v>0</v>
      </c>
      <c r="N130" s="58">
        <f>SUM(C130,E130,G130,I130,K130)+M130</f>
        <v>2558.3280000000004</v>
      </c>
      <c r="O130" s="68"/>
      <c r="P130" s="68"/>
    </row>
    <row r="131" spans="1:22" s="69" customFormat="1" ht="19.5" thickBot="1" x14ac:dyDescent="0.35">
      <c r="A131" s="56" t="s">
        <v>12</v>
      </c>
      <c r="B131" s="64">
        <f>B135+B138</f>
        <v>319.8</v>
      </c>
      <c r="C131" s="64">
        <f>C135+C138</f>
        <v>2839.8240000000001</v>
      </c>
      <c r="D131" s="64">
        <f t="shared" ref="D131:M131" si="88">D135+D138</f>
        <v>0</v>
      </c>
      <c r="E131" s="64">
        <f t="shared" si="88"/>
        <v>0</v>
      </c>
      <c r="F131" s="64">
        <f t="shared" si="88"/>
        <v>0</v>
      </c>
      <c r="G131" s="64">
        <f t="shared" si="88"/>
        <v>0</v>
      </c>
      <c r="H131" s="64">
        <f t="shared" si="88"/>
        <v>0</v>
      </c>
      <c r="I131" s="64">
        <f t="shared" si="88"/>
        <v>0</v>
      </c>
      <c r="J131" s="64">
        <f t="shared" si="88"/>
        <v>0</v>
      </c>
      <c r="K131" s="64">
        <f t="shared" si="88"/>
        <v>0</v>
      </c>
      <c r="L131" s="64">
        <f t="shared" si="88"/>
        <v>0</v>
      </c>
      <c r="M131" s="64">
        <f t="shared" si="88"/>
        <v>0</v>
      </c>
      <c r="N131" s="56">
        <f>SUM(C131,E131,G131,I131,K131)+M131</f>
        <v>2839.8240000000001</v>
      </c>
      <c r="O131" s="66" t="e">
        <f t="shared" ref="O131:T131" si="89">O135+O136/2+O141</f>
        <v>#VALUE!</v>
      </c>
      <c r="P131" s="65">
        <f t="shared" si="89"/>
        <v>0</v>
      </c>
      <c r="Q131" s="65">
        <f t="shared" si="89"/>
        <v>0</v>
      </c>
      <c r="R131" s="65">
        <f t="shared" si="89"/>
        <v>0</v>
      </c>
      <c r="S131" s="65">
        <f t="shared" si="89"/>
        <v>0</v>
      </c>
      <c r="T131" s="65">
        <f t="shared" si="89"/>
        <v>0</v>
      </c>
    </row>
    <row r="132" spans="1:22" s="69" customFormat="1" ht="19.5" thickBot="1" x14ac:dyDescent="0.35">
      <c r="A132" s="77" t="s">
        <v>15</v>
      </c>
      <c r="B132" s="78"/>
      <c r="C132" s="78"/>
      <c r="D132" s="78"/>
      <c r="E132" s="78"/>
      <c r="F132" s="78"/>
      <c r="G132" s="78"/>
      <c r="H132" s="78"/>
      <c r="I132" s="78"/>
      <c r="J132" s="78"/>
      <c r="K132" s="78"/>
      <c r="L132" s="78"/>
      <c r="M132" s="78"/>
      <c r="N132" s="79"/>
      <c r="O132" s="68"/>
      <c r="P132" s="68"/>
    </row>
    <row r="133" spans="1:22" s="72" customFormat="1" ht="57" thickBot="1" x14ac:dyDescent="0.35">
      <c r="A133" s="70" t="s">
        <v>47</v>
      </c>
      <c r="B133" s="58">
        <f>B134+B135</f>
        <v>596</v>
      </c>
      <c r="C133" s="58">
        <f>C134+C135-0.1</f>
        <v>5292.38</v>
      </c>
      <c r="D133" s="58">
        <f t="shared" ref="D133:K133" si="90">D134+D135</f>
        <v>0</v>
      </c>
      <c r="E133" s="58">
        <f t="shared" si="90"/>
        <v>0</v>
      </c>
      <c r="F133" s="58">
        <f t="shared" si="90"/>
        <v>0</v>
      </c>
      <c r="G133" s="58">
        <f t="shared" si="90"/>
        <v>0</v>
      </c>
      <c r="H133" s="58">
        <f t="shared" si="90"/>
        <v>0</v>
      </c>
      <c r="I133" s="58">
        <f t="shared" si="90"/>
        <v>0</v>
      </c>
      <c r="J133" s="58">
        <f t="shared" si="90"/>
        <v>0</v>
      </c>
      <c r="K133" s="58">
        <f t="shared" si="90"/>
        <v>0</v>
      </c>
      <c r="L133" s="58">
        <v>0</v>
      </c>
      <c r="M133" s="58">
        <v>0</v>
      </c>
      <c r="N133" s="57">
        <f t="shared" ref="N133:N141" si="91">SUM(C133,E133,G133,I133,K133)+M133</f>
        <v>5292.38</v>
      </c>
      <c r="O133" s="71" t="s">
        <v>52</v>
      </c>
      <c r="P133" s="71"/>
      <c r="V133" s="69"/>
    </row>
    <row r="134" spans="1:22" s="69" customFormat="1" ht="19.5" thickBot="1" x14ac:dyDescent="0.35">
      <c r="A134" s="56" t="s">
        <v>11</v>
      </c>
      <c r="B134" s="58">
        <v>283</v>
      </c>
      <c r="C134" s="58">
        <f>B134*ТАРИФЫ!F21</f>
        <v>2513.0400000000004</v>
      </c>
      <c r="D134" s="58">
        <v>0</v>
      </c>
      <c r="E134" s="58">
        <v>0</v>
      </c>
      <c r="F134" s="58">
        <v>0</v>
      </c>
      <c r="G134" s="57">
        <v>0</v>
      </c>
      <c r="H134" s="57">
        <v>0</v>
      </c>
      <c r="I134" s="57">
        <v>0</v>
      </c>
      <c r="J134" s="57">
        <v>0</v>
      </c>
      <c r="K134" s="57">
        <v>0</v>
      </c>
      <c r="L134" s="57">
        <v>0</v>
      </c>
      <c r="M134" s="57">
        <v>0</v>
      </c>
      <c r="N134" s="57">
        <f t="shared" si="91"/>
        <v>2513.0400000000004</v>
      </c>
      <c r="O134" s="68" t="s">
        <v>54</v>
      </c>
      <c r="P134" s="68">
        <f>H134-J134</f>
        <v>0</v>
      </c>
    </row>
    <row r="135" spans="1:22" s="69" customFormat="1" ht="19.5" thickBot="1" x14ac:dyDescent="0.35">
      <c r="A135" s="56" t="s">
        <v>12</v>
      </c>
      <c r="B135" s="58">
        <v>313</v>
      </c>
      <c r="C135" s="58">
        <f>B135*ТАРИФЫ!F21</f>
        <v>2779.44</v>
      </c>
      <c r="D135" s="58">
        <v>0</v>
      </c>
      <c r="E135" s="58">
        <v>0</v>
      </c>
      <c r="F135" s="58">
        <v>0</v>
      </c>
      <c r="G135" s="57">
        <v>0</v>
      </c>
      <c r="H135" s="57">
        <v>0</v>
      </c>
      <c r="I135" s="57">
        <v>0</v>
      </c>
      <c r="J135" s="57">
        <v>0</v>
      </c>
      <c r="K135" s="57">
        <v>0</v>
      </c>
      <c r="L135" s="57">
        <v>0</v>
      </c>
      <c r="M135" s="57">
        <v>0</v>
      </c>
      <c r="N135" s="57">
        <f t="shared" si="91"/>
        <v>2779.44</v>
      </c>
      <c r="O135" s="68" t="s">
        <v>54</v>
      </c>
      <c r="P135" s="68">
        <f>H135-J135</f>
        <v>0</v>
      </c>
    </row>
    <row r="136" spans="1:22" s="69" customFormat="1" ht="19.5" thickBot="1" x14ac:dyDescent="0.35">
      <c r="A136" s="56" t="s">
        <v>22</v>
      </c>
      <c r="B136" s="58">
        <f>B137+B138</f>
        <v>11.899999999999999</v>
      </c>
      <c r="C136" s="58">
        <f>B136*ТАРИФЫ!F21</f>
        <v>105.672</v>
      </c>
      <c r="D136" s="57">
        <v>0</v>
      </c>
      <c r="E136" s="57">
        <v>0</v>
      </c>
      <c r="F136" s="57">
        <v>0</v>
      </c>
      <c r="G136" s="57">
        <v>0</v>
      </c>
      <c r="H136" s="57">
        <v>0</v>
      </c>
      <c r="I136" s="57">
        <v>0</v>
      </c>
      <c r="J136" s="57">
        <v>0</v>
      </c>
      <c r="K136" s="57">
        <v>0</v>
      </c>
      <c r="L136" s="57">
        <v>0</v>
      </c>
      <c r="M136" s="57">
        <v>0</v>
      </c>
      <c r="N136" s="57">
        <f t="shared" si="91"/>
        <v>105.672</v>
      </c>
      <c r="O136" s="68"/>
      <c r="P136" s="68"/>
    </row>
    <row r="137" spans="1:22" s="69" customFormat="1" ht="19.5" thickBot="1" x14ac:dyDescent="0.35">
      <c r="A137" s="56" t="s">
        <v>11</v>
      </c>
      <c r="B137" s="58">
        <v>5.0999999999999996</v>
      </c>
      <c r="C137" s="58">
        <f>B137*ТАРИФЫ!F22</f>
        <v>45.288000000000004</v>
      </c>
      <c r="D137" s="58">
        <v>0</v>
      </c>
      <c r="E137" s="58">
        <v>0</v>
      </c>
      <c r="F137" s="58">
        <v>0</v>
      </c>
      <c r="G137" s="57">
        <v>0</v>
      </c>
      <c r="H137" s="57">
        <v>0</v>
      </c>
      <c r="I137" s="57">
        <v>0</v>
      </c>
      <c r="J137" s="57">
        <v>0</v>
      </c>
      <c r="K137" s="57">
        <v>0</v>
      </c>
      <c r="L137" s="57">
        <v>0</v>
      </c>
      <c r="M137" s="57">
        <v>0</v>
      </c>
      <c r="N137" s="57">
        <f t="shared" ref="N137:N138" si="92">SUM(C137,E137,G137,I137,K137)+M137</f>
        <v>45.288000000000004</v>
      </c>
      <c r="O137" s="68"/>
      <c r="P137" s="68"/>
    </row>
    <row r="138" spans="1:22" s="69" customFormat="1" ht="19.5" thickBot="1" x14ac:dyDescent="0.35">
      <c r="A138" s="56" t="s">
        <v>12</v>
      </c>
      <c r="B138" s="58">
        <v>6.8</v>
      </c>
      <c r="C138" s="58">
        <f>B138*ТАРИФЫ!F23</f>
        <v>60.384</v>
      </c>
      <c r="D138" s="58">
        <v>0</v>
      </c>
      <c r="E138" s="58">
        <v>0</v>
      </c>
      <c r="F138" s="58">
        <v>0</v>
      </c>
      <c r="G138" s="57">
        <v>0</v>
      </c>
      <c r="H138" s="57">
        <v>0</v>
      </c>
      <c r="I138" s="57">
        <v>0</v>
      </c>
      <c r="J138" s="57">
        <v>0</v>
      </c>
      <c r="K138" s="57">
        <v>0</v>
      </c>
      <c r="L138" s="57">
        <v>0</v>
      </c>
      <c r="M138" s="57">
        <v>0</v>
      </c>
      <c r="N138" s="57">
        <f t="shared" si="92"/>
        <v>60.384</v>
      </c>
      <c r="O138" s="68"/>
      <c r="P138" s="68"/>
    </row>
    <row r="139" spans="1:22" s="69" customFormat="1" ht="169.5" thickBot="1" x14ac:dyDescent="0.35">
      <c r="A139" s="56" t="s">
        <v>84</v>
      </c>
      <c r="B139" s="58">
        <v>0</v>
      </c>
      <c r="C139" s="58">
        <f>SUM(C140:C141)</f>
        <v>50</v>
      </c>
      <c r="D139" s="58">
        <v>0</v>
      </c>
      <c r="E139" s="58">
        <f>SUM(E140:E141)</f>
        <v>5400</v>
      </c>
      <c r="F139" s="58">
        <v>0</v>
      </c>
      <c r="G139" s="58">
        <v>0</v>
      </c>
      <c r="H139" s="58">
        <v>0</v>
      </c>
      <c r="I139" s="58">
        <v>0</v>
      </c>
      <c r="J139" s="58">
        <v>0</v>
      </c>
      <c r="K139" s="58">
        <f>K140+K141</f>
        <v>0</v>
      </c>
      <c r="L139" s="58">
        <v>0</v>
      </c>
      <c r="M139" s="58">
        <v>0</v>
      </c>
      <c r="N139" s="57">
        <f t="shared" si="91"/>
        <v>5450</v>
      </c>
      <c r="O139" s="68"/>
      <c r="P139" s="68"/>
    </row>
    <row r="140" spans="1:22" s="69" customFormat="1" ht="19.5" thickBot="1" x14ac:dyDescent="0.35">
      <c r="A140" s="56" t="s">
        <v>11</v>
      </c>
      <c r="B140" s="58">
        <v>0</v>
      </c>
      <c r="C140" s="58">
        <v>30</v>
      </c>
      <c r="D140" s="57">
        <v>0</v>
      </c>
      <c r="E140" s="57">
        <v>3200</v>
      </c>
      <c r="F140" s="57">
        <v>0</v>
      </c>
      <c r="G140" s="57">
        <v>0</v>
      </c>
      <c r="H140" s="57">
        <v>0</v>
      </c>
      <c r="I140" s="57">
        <v>0</v>
      </c>
      <c r="J140" s="57">
        <v>0</v>
      </c>
      <c r="K140" s="57">
        <v>0</v>
      </c>
      <c r="L140" s="57">
        <v>0</v>
      </c>
      <c r="M140" s="57">
        <v>0</v>
      </c>
      <c r="N140" s="57">
        <f t="shared" si="91"/>
        <v>3230</v>
      </c>
      <c r="O140" s="68"/>
      <c r="P140" s="68"/>
    </row>
    <row r="141" spans="1:22" s="69" customFormat="1" ht="19.5" thickBot="1" x14ac:dyDescent="0.35">
      <c r="A141" s="56" t="s">
        <v>12</v>
      </c>
      <c r="B141" s="58">
        <v>0</v>
      </c>
      <c r="C141" s="58">
        <v>20</v>
      </c>
      <c r="D141" s="57">
        <v>0</v>
      </c>
      <c r="E141" s="57">
        <v>2200</v>
      </c>
      <c r="F141" s="57">
        <v>0</v>
      </c>
      <c r="G141" s="57">
        <v>0</v>
      </c>
      <c r="H141" s="57">
        <v>0</v>
      </c>
      <c r="I141" s="57">
        <v>0</v>
      </c>
      <c r="J141" s="57">
        <v>0</v>
      </c>
      <c r="K141" s="57">
        <v>0</v>
      </c>
      <c r="L141" s="57">
        <v>0</v>
      </c>
      <c r="M141" s="57">
        <v>0</v>
      </c>
      <c r="N141" s="57">
        <f t="shared" si="91"/>
        <v>2220</v>
      </c>
      <c r="O141" s="68"/>
      <c r="P141" s="68"/>
    </row>
    <row r="142" spans="1:22" s="69" customFormat="1" ht="38.25" thickBot="1" x14ac:dyDescent="0.35">
      <c r="A142" s="56" t="s">
        <v>28</v>
      </c>
      <c r="B142" s="57">
        <f>B143+B144</f>
        <v>2071.529</v>
      </c>
      <c r="C142" s="57">
        <f>C143+C144</f>
        <v>18444.677519999997</v>
      </c>
      <c r="D142" s="57">
        <f t="shared" ref="D142:M142" si="93">D143+D144</f>
        <v>7845.5660000000007</v>
      </c>
      <c r="E142" s="57">
        <f>E143+E144+0.1</f>
        <v>113113.841976</v>
      </c>
      <c r="F142" s="57">
        <f>F143+F144-0.1</f>
        <v>1058.3550000000002</v>
      </c>
      <c r="G142" s="57">
        <f>G143+G144+0.1</f>
        <v>11470.139373119999</v>
      </c>
      <c r="H142" s="57">
        <f>H143+H144-0.1</f>
        <v>21748.173999999999</v>
      </c>
      <c r="I142" s="57">
        <f>I143+I144+0.1</f>
        <v>1844.1068680000003</v>
      </c>
      <c r="J142" s="57">
        <f t="shared" si="93"/>
        <v>21749.531999999999</v>
      </c>
      <c r="K142" s="57">
        <f>K143+K144+0.1</f>
        <v>2812.611408452</v>
      </c>
      <c r="L142" s="57">
        <f t="shared" si="93"/>
        <v>0</v>
      </c>
      <c r="M142" s="57">
        <f t="shared" si="93"/>
        <v>563</v>
      </c>
      <c r="N142" s="57">
        <f>SUM(C142,E142,G142,I142,K142)+M142-0.1</f>
        <v>148248.27714557201</v>
      </c>
    </row>
    <row r="143" spans="1:22" s="69" customFormat="1" ht="19.5" thickBot="1" x14ac:dyDescent="0.35">
      <c r="A143" s="56" t="s">
        <v>11</v>
      </c>
      <c r="B143" s="58">
        <f>B19+B75+B101+B105+B126+B130+B140+B16</f>
        <v>1061.2</v>
      </c>
      <c r="C143" s="58">
        <f>C19+C75+C101+C105+C126+C130+C140+C16-0.1</f>
        <v>9453.2559999999994</v>
      </c>
      <c r="D143" s="58">
        <f t="shared" ref="D143:L143" si="94">D19+D75+D101+D105+D126+D130+D140+D16</f>
        <v>4817.6000000000004</v>
      </c>
      <c r="E143" s="58">
        <f>E19+E75+E101+E105+E126+E130+E140+E16</f>
        <v>65601.476775999996</v>
      </c>
      <c r="F143" s="58">
        <f t="shared" si="94"/>
        <v>796.64200000000017</v>
      </c>
      <c r="G143" s="58">
        <f>G19+G75+G101+G105+G126+G130+G140+G16-0.1</f>
        <v>8184.8568491199976</v>
      </c>
      <c r="H143" s="58">
        <f t="shared" si="94"/>
        <v>11154.241999999998</v>
      </c>
      <c r="I143" s="58">
        <f>I19+I75+I101+I105+I126+I130+I140+I16-0.2</f>
        <v>747.15600800000004</v>
      </c>
      <c r="J143" s="58">
        <f t="shared" si="94"/>
        <v>11155.499999999998</v>
      </c>
      <c r="K143" s="58">
        <f>K19+K75+K101+K105+K126+K130+K140+K16+0.1</f>
        <v>1235.2545480000001</v>
      </c>
      <c r="L143" s="58">
        <f t="shared" si="94"/>
        <v>0</v>
      </c>
      <c r="M143" s="58">
        <f>M19+M75+M101+M105+M126+M130+M140+M16</f>
        <v>276</v>
      </c>
      <c r="N143" s="58">
        <f>N19+N75+N101+N105+N126+N130+N140+N16+0.1</f>
        <v>85498.200181119988</v>
      </c>
      <c r="O143" s="58" t="e">
        <f t="shared" ref="O143:T143" si="95">O19+O75+O101+O105+O126+O130+O140+O16</f>
        <v>#VALUE!</v>
      </c>
      <c r="P143" s="58">
        <f t="shared" si="95"/>
        <v>-1.2579999999999991</v>
      </c>
      <c r="Q143" s="58">
        <f t="shared" si="95"/>
        <v>0</v>
      </c>
      <c r="R143" s="58">
        <f t="shared" si="95"/>
        <v>0</v>
      </c>
      <c r="S143" s="58">
        <f t="shared" si="95"/>
        <v>0</v>
      </c>
      <c r="T143" s="58">
        <f t="shared" si="95"/>
        <v>0</v>
      </c>
    </row>
    <row r="144" spans="1:22" s="69" customFormat="1" ht="19.5" thickBot="1" x14ac:dyDescent="0.35">
      <c r="A144" s="56" t="s">
        <v>12</v>
      </c>
      <c r="B144" s="58">
        <f t="shared" ref="B144:L144" si="96">B20+B76+B102+B106+B127+B131+B141+B17</f>
        <v>1010.329</v>
      </c>
      <c r="C144" s="58">
        <f>C20+C76+C102+C106+C127+C131+C141+C17</f>
        <v>8991.4215199999999</v>
      </c>
      <c r="D144" s="58">
        <f t="shared" si="96"/>
        <v>3027.9660000000003</v>
      </c>
      <c r="E144" s="58">
        <f>E20+E76+E102+E106+E127+E131+E141+E17-0.1</f>
        <v>47512.265200000002</v>
      </c>
      <c r="F144" s="58">
        <f t="shared" si="96"/>
        <v>261.81299999999999</v>
      </c>
      <c r="G144" s="58">
        <f>G20+G76+G102+G106+G127+G131+G141+G17</f>
        <v>3285.1825240000003</v>
      </c>
      <c r="H144" s="58">
        <f t="shared" si="96"/>
        <v>10594.032000000001</v>
      </c>
      <c r="I144" s="58">
        <f>I20+I76+I102+I106+I127+I131+I141+I17</f>
        <v>1096.8508600000002</v>
      </c>
      <c r="J144" s="58">
        <f t="shared" si="96"/>
        <v>10594.032000000001</v>
      </c>
      <c r="K144" s="58">
        <f>K20+K76+K102+K106+K127+K131+K141+K17</f>
        <v>1577.2568604520002</v>
      </c>
      <c r="L144" s="58">
        <f t="shared" si="96"/>
        <v>0</v>
      </c>
      <c r="M144" s="58">
        <f>M20+M76+M102+M106+M127+M131+M141+M17</f>
        <v>287</v>
      </c>
      <c r="N144" s="57">
        <f>SUM(C144,E144,G144,I144,K144)+M144+0.1</f>
        <v>62750.076964451997</v>
      </c>
    </row>
    <row r="145" spans="1:14" x14ac:dyDescent="0.3">
      <c r="A145" s="50"/>
      <c r="B145" s="63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</row>
    <row r="146" spans="1:14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62"/>
    </row>
    <row r="147" spans="1:14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</row>
    <row r="148" spans="1:14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</row>
  </sheetData>
  <autoFilter ref="A13:Q141"/>
  <mergeCells count="35">
    <mergeCell ref="H1:N1"/>
    <mergeCell ref="C11:C12"/>
    <mergeCell ref="B10:C10"/>
    <mergeCell ref="H10:I10"/>
    <mergeCell ref="J11:J12"/>
    <mergeCell ref="F11:F12"/>
    <mergeCell ref="J10:K10"/>
    <mergeCell ref="D11:D12"/>
    <mergeCell ref="N10:N12"/>
    <mergeCell ref="H11:H12"/>
    <mergeCell ref="D10:E10"/>
    <mergeCell ref="F10:G10"/>
    <mergeCell ref="A6:N6"/>
    <mergeCell ref="A7:N7"/>
    <mergeCell ref="A9:N9"/>
    <mergeCell ref="A8:N8"/>
    <mergeCell ref="A132:N132"/>
    <mergeCell ref="A111:N111"/>
    <mergeCell ref="A124:N124"/>
    <mergeCell ref="A87:N87"/>
    <mergeCell ref="A77:N77"/>
    <mergeCell ref="A103:N103"/>
    <mergeCell ref="A107:N107"/>
    <mergeCell ref="A128:N128"/>
    <mergeCell ref="K2:U2"/>
    <mergeCell ref="K3:N3"/>
    <mergeCell ref="K4:N4"/>
    <mergeCell ref="K5:N5"/>
    <mergeCell ref="A49:N49"/>
    <mergeCell ref="A21:N21"/>
    <mergeCell ref="A10:A12"/>
    <mergeCell ref="A14:N14"/>
    <mergeCell ref="L10:M10"/>
    <mergeCell ref="L11:L12"/>
    <mergeCell ref="M11:M12"/>
  </mergeCells>
  <phoneticPr fontId="6" type="noConversion"/>
  <printOptions horizontalCentered="1"/>
  <pageMargins left="0.25" right="0.25" top="0.75" bottom="0.75" header="0.3" footer="0.3"/>
  <pageSetup paperSize="9" scale="5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9"/>
  <sheetViews>
    <sheetView topLeftCell="A13" zoomScale="89" zoomScaleNormal="89" workbookViewId="0">
      <selection activeCell="G31" sqref="G31"/>
    </sheetView>
  </sheetViews>
  <sheetFormatPr defaultRowHeight="15" x14ac:dyDescent="0.25"/>
  <cols>
    <col min="1" max="1" width="5.140625" customWidth="1"/>
    <col min="2" max="2" width="21.42578125" customWidth="1"/>
    <col min="3" max="3" width="17.5703125" customWidth="1"/>
    <col min="4" max="7" width="13.28515625" customWidth="1"/>
    <col min="16" max="16" width="14.42578125" customWidth="1"/>
    <col min="18" max="18" width="12.28515625" bestFit="1" customWidth="1"/>
    <col min="20" max="20" width="12.28515625" bestFit="1" customWidth="1"/>
    <col min="23" max="23" width="11.42578125" customWidth="1"/>
    <col min="24" max="24" width="13.42578125" bestFit="1" customWidth="1"/>
    <col min="26" max="26" width="12.28515625" bestFit="1" customWidth="1"/>
  </cols>
  <sheetData>
    <row r="1" spans="1:24" ht="35.25" customHeight="1" x14ac:dyDescent="0.25">
      <c r="A1" s="102"/>
      <c r="B1" s="102"/>
      <c r="C1" s="102"/>
      <c r="D1" s="102"/>
      <c r="E1" s="102"/>
      <c r="F1" s="102"/>
      <c r="G1" s="102"/>
    </row>
    <row r="2" spans="1:24" ht="35.25" customHeight="1" thickBot="1" x14ac:dyDescent="0.3">
      <c r="A2" s="102" t="s">
        <v>83</v>
      </c>
      <c r="B2" s="102"/>
      <c r="C2" s="102"/>
      <c r="D2" s="102"/>
      <c r="E2" s="102"/>
      <c r="F2" s="102"/>
      <c r="G2" s="102"/>
      <c r="P2" t="s">
        <v>27</v>
      </c>
      <c r="R2" t="s">
        <v>53</v>
      </c>
    </row>
    <row r="3" spans="1:24" ht="29.25" customHeight="1" thickBot="1" x14ac:dyDescent="0.3">
      <c r="A3" s="5" t="s">
        <v>29</v>
      </c>
      <c r="B3" s="6" t="s">
        <v>30</v>
      </c>
      <c r="C3" s="6" t="s">
        <v>31</v>
      </c>
      <c r="D3" s="6" t="s">
        <v>35</v>
      </c>
      <c r="E3" s="6" t="s">
        <v>36</v>
      </c>
      <c r="F3" s="6" t="s">
        <v>37</v>
      </c>
      <c r="G3" s="6" t="s">
        <v>38</v>
      </c>
      <c r="L3" t="s">
        <v>60</v>
      </c>
      <c r="M3">
        <v>1254.0999999999999</v>
      </c>
      <c r="N3">
        <v>0.03</v>
      </c>
      <c r="P3">
        <f>M3*N3*F5</f>
        <v>374625.75527999992</v>
      </c>
      <c r="R3">
        <f>M3*N3*G5</f>
        <v>403574.39639999997</v>
      </c>
    </row>
    <row r="4" spans="1:24" ht="35.1" customHeight="1" x14ac:dyDescent="0.25">
      <c r="A4" s="92" t="s">
        <v>32</v>
      </c>
      <c r="B4" s="103" t="s">
        <v>33</v>
      </c>
      <c r="C4" s="11" t="s">
        <v>21</v>
      </c>
      <c r="D4" s="2">
        <v>0</v>
      </c>
      <c r="E4" s="2">
        <v>0</v>
      </c>
      <c r="F4" s="1">
        <f t="shared" ref="F4:F13" si="0">SUM(D4*1.2)</f>
        <v>0</v>
      </c>
      <c r="G4" s="1">
        <f t="shared" ref="G4:G13" si="1">SUM(E4*1.2)</f>
        <v>0</v>
      </c>
      <c r="J4" s="2">
        <v>0</v>
      </c>
      <c r="L4" t="s">
        <v>61</v>
      </c>
      <c r="M4">
        <v>610.1</v>
      </c>
      <c r="N4">
        <v>3.3000000000000002E-2</v>
      </c>
      <c r="P4">
        <f>M4*N4*D7</f>
        <v>335136.89847000007</v>
      </c>
      <c r="R4">
        <f>M4*N4*G7</f>
        <v>499463.68507200008</v>
      </c>
    </row>
    <row r="5" spans="1:24" ht="35.1" customHeight="1" x14ac:dyDescent="0.25">
      <c r="A5" s="93"/>
      <c r="B5" s="104"/>
      <c r="C5" s="46" t="s">
        <v>26</v>
      </c>
      <c r="D5" s="17">
        <v>8297.7999999999993</v>
      </c>
      <c r="E5" s="17">
        <v>8939</v>
      </c>
      <c r="F5" s="18">
        <f t="shared" si="0"/>
        <v>9957.3599999999988</v>
      </c>
      <c r="G5" s="18">
        <f t="shared" si="1"/>
        <v>10726.8</v>
      </c>
      <c r="I5">
        <v>1.04</v>
      </c>
      <c r="J5" s="3">
        <f>D5*1.04</f>
        <v>8629.7119999999995</v>
      </c>
      <c r="L5" t="s">
        <v>62</v>
      </c>
      <c r="M5">
        <v>590.9</v>
      </c>
      <c r="N5">
        <v>3.9E-2</v>
      </c>
      <c r="P5">
        <f>M5*N5*D4</f>
        <v>0</v>
      </c>
      <c r="R5">
        <f>M5*N5*G4</f>
        <v>0</v>
      </c>
    </row>
    <row r="6" spans="1:24" ht="35.1" customHeight="1" x14ac:dyDescent="0.25">
      <c r="A6" s="93"/>
      <c r="B6" s="104"/>
      <c r="C6" s="46" t="s">
        <v>22</v>
      </c>
      <c r="D6" s="17">
        <v>17397.099999999999</v>
      </c>
      <c r="E6" s="17">
        <v>21626.2</v>
      </c>
      <c r="F6" s="18">
        <f t="shared" si="0"/>
        <v>20876.519999999997</v>
      </c>
      <c r="G6" s="18">
        <f t="shared" si="1"/>
        <v>25951.439999999999</v>
      </c>
      <c r="I6">
        <v>1.04</v>
      </c>
      <c r="J6" s="3">
        <f t="shared" ref="J6:J24" si="2">D6*1.04</f>
        <v>18092.984</v>
      </c>
      <c r="L6" t="s">
        <v>63</v>
      </c>
      <c r="M6">
        <v>2045.9</v>
      </c>
      <c r="N6">
        <v>2.9000000000000001E-2</v>
      </c>
      <c r="P6">
        <f>M6*N6*D6</f>
        <v>1032189.07981</v>
      </c>
      <c r="R6">
        <f>M6*N6*G6</f>
        <v>1539727.4817840001</v>
      </c>
      <c r="T6" t="s">
        <v>64</v>
      </c>
    </row>
    <row r="7" spans="1:24" ht="35.1" customHeight="1" x14ac:dyDescent="0.25">
      <c r="A7" s="93"/>
      <c r="B7" s="104"/>
      <c r="C7" s="46" t="s">
        <v>34</v>
      </c>
      <c r="D7" s="17">
        <v>16645.900000000001</v>
      </c>
      <c r="E7" s="17">
        <v>20673.2</v>
      </c>
      <c r="F7" s="18">
        <f t="shared" si="0"/>
        <v>19975.080000000002</v>
      </c>
      <c r="G7" s="18">
        <f t="shared" si="1"/>
        <v>24807.84</v>
      </c>
      <c r="I7">
        <v>1.04</v>
      </c>
      <c r="J7" s="3">
        <f t="shared" si="2"/>
        <v>17311.736000000001</v>
      </c>
      <c r="P7">
        <f>P3+P4+P5+P6</f>
        <v>1741951.7335600001</v>
      </c>
      <c r="R7">
        <f>R3+R4+R5+R6</f>
        <v>2442765.5632560002</v>
      </c>
      <c r="T7">
        <f>P7+R7</f>
        <v>4184717.2968160002</v>
      </c>
    </row>
    <row r="8" spans="1:24" ht="35.1" customHeight="1" thickBot="1" x14ac:dyDescent="0.3">
      <c r="A8" s="94"/>
      <c r="B8" s="105"/>
      <c r="C8" s="8" t="s">
        <v>20</v>
      </c>
      <c r="D8" s="19">
        <v>12669</v>
      </c>
      <c r="E8" s="17">
        <v>15824.1</v>
      </c>
      <c r="F8" s="20">
        <f t="shared" si="0"/>
        <v>15202.8</v>
      </c>
      <c r="G8" s="20">
        <f t="shared" si="1"/>
        <v>18988.919999999998</v>
      </c>
      <c r="I8">
        <v>1.04</v>
      </c>
      <c r="J8" s="3">
        <f t="shared" si="2"/>
        <v>13175.76</v>
      </c>
      <c r="P8" s="7">
        <f>P7*6</f>
        <v>10451710.401360001</v>
      </c>
      <c r="R8" s="7">
        <f>R7*6</f>
        <v>14656593.379536001</v>
      </c>
      <c r="T8">
        <f>P8+R8</f>
        <v>25108303.780896001</v>
      </c>
    </row>
    <row r="9" spans="1:24" ht="35.1" customHeight="1" x14ac:dyDescent="0.25">
      <c r="A9" s="92" t="s">
        <v>39</v>
      </c>
      <c r="B9" s="95" t="s">
        <v>40</v>
      </c>
      <c r="C9" s="11" t="s">
        <v>21</v>
      </c>
      <c r="D9" s="21">
        <v>0</v>
      </c>
      <c r="E9" s="22">
        <f>I9*J9</f>
        <v>0</v>
      </c>
      <c r="F9" s="23">
        <f t="shared" si="0"/>
        <v>0</v>
      </c>
      <c r="G9" s="23">
        <f t="shared" si="1"/>
        <v>0</v>
      </c>
      <c r="I9">
        <v>1.04</v>
      </c>
      <c r="J9" s="3">
        <f t="shared" si="2"/>
        <v>0</v>
      </c>
    </row>
    <row r="10" spans="1:24" ht="35.1" customHeight="1" x14ac:dyDescent="0.25">
      <c r="A10" s="93"/>
      <c r="B10" s="96"/>
      <c r="C10" s="46" t="s">
        <v>26</v>
      </c>
      <c r="D10" s="17">
        <v>43.7</v>
      </c>
      <c r="E10" s="17">
        <v>74.2</v>
      </c>
      <c r="F10" s="18">
        <f t="shared" si="0"/>
        <v>52.440000000000005</v>
      </c>
      <c r="G10" s="18">
        <f t="shared" si="1"/>
        <v>89.04</v>
      </c>
      <c r="I10">
        <v>1.04</v>
      </c>
      <c r="J10" s="3">
        <f t="shared" si="2"/>
        <v>45.448000000000008</v>
      </c>
      <c r="L10" t="s">
        <v>65</v>
      </c>
      <c r="N10" t="s">
        <v>27</v>
      </c>
      <c r="P10" t="s">
        <v>66</v>
      </c>
      <c r="R10" t="s">
        <v>64</v>
      </c>
    </row>
    <row r="11" spans="1:24" ht="35.1" customHeight="1" x14ac:dyDescent="0.25">
      <c r="A11" s="93"/>
      <c r="B11" s="96"/>
      <c r="C11" s="46" t="s">
        <v>22</v>
      </c>
      <c r="D11" s="17">
        <v>86</v>
      </c>
      <c r="E11" s="17">
        <v>95.1</v>
      </c>
      <c r="F11" s="18">
        <f t="shared" si="0"/>
        <v>103.2</v>
      </c>
      <c r="G11" s="18">
        <f t="shared" si="1"/>
        <v>114.11999999999999</v>
      </c>
      <c r="I11">
        <v>1.04</v>
      </c>
      <c r="J11" s="3">
        <f t="shared" si="2"/>
        <v>89.44</v>
      </c>
      <c r="N11">
        <v>5750867.75</v>
      </c>
      <c r="P11">
        <v>5821696.6399999997</v>
      </c>
      <c r="R11">
        <f>N11+P11</f>
        <v>11572564.390000001</v>
      </c>
    </row>
    <row r="12" spans="1:24" ht="35.1" customHeight="1" x14ac:dyDescent="0.25">
      <c r="A12" s="93"/>
      <c r="B12" s="96"/>
      <c r="C12" s="46" t="s">
        <v>34</v>
      </c>
      <c r="D12" s="17">
        <v>43.7</v>
      </c>
      <c r="E12" s="17">
        <v>74.2</v>
      </c>
      <c r="F12" s="18">
        <f t="shared" si="0"/>
        <v>52.440000000000005</v>
      </c>
      <c r="G12" s="18">
        <f t="shared" si="1"/>
        <v>89.04</v>
      </c>
      <c r="I12">
        <v>1.04</v>
      </c>
      <c r="J12" s="3">
        <f t="shared" si="2"/>
        <v>45.448000000000008</v>
      </c>
    </row>
    <row r="13" spans="1:24" ht="35.1" customHeight="1" thickBot="1" x14ac:dyDescent="0.3">
      <c r="A13" s="94"/>
      <c r="B13" s="97"/>
      <c r="C13" s="8" t="s">
        <v>20</v>
      </c>
      <c r="D13" s="24">
        <v>107.4</v>
      </c>
      <c r="E13" s="17">
        <v>136.1</v>
      </c>
      <c r="F13" s="20">
        <f t="shared" si="0"/>
        <v>128.88</v>
      </c>
      <c r="G13" s="20">
        <f t="shared" si="1"/>
        <v>163.32</v>
      </c>
      <c r="I13">
        <v>1.04</v>
      </c>
      <c r="J13" s="3">
        <f t="shared" si="2"/>
        <v>111.69600000000001</v>
      </c>
      <c r="L13" t="s">
        <v>67</v>
      </c>
      <c r="N13">
        <v>353896.35</v>
      </c>
      <c r="P13">
        <v>355096.26</v>
      </c>
      <c r="R13">
        <f>N13+P13</f>
        <v>708992.61</v>
      </c>
    </row>
    <row r="14" spans="1:24" ht="35.1" customHeight="1" x14ac:dyDescent="0.25">
      <c r="A14" s="92" t="s">
        <v>41</v>
      </c>
      <c r="B14" s="95" t="s">
        <v>42</v>
      </c>
      <c r="C14" s="12" t="s">
        <v>21</v>
      </c>
      <c r="D14" s="25">
        <v>0</v>
      </c>
      <c r="E14" s="26">
        <f>I14*J14</f>
        <v>0</v>
      </c>
      <c r="F14" s="27">
        <f>SUM(D14*1.18)</f>
        <v>0</v>
      </c>
      <c r="G14" s="28">
        <f>SUM(E14*1.18)</f>
        <v>0</v>
      </c>
      <c r="I14">
        <v>1.04</v>
      </c>
      <c r="J14" s="3">
        <f t="shared" si="2"/>
        <v>0</v>
      </c>
      <c r="N14" t="s">
        <v>54</v>
      </c>
      <c r="O14" t="s">
        <v>69</v>
      </c>
      <c r="P14" t="s">
        <v>61</v>
      </c>
      <c r="Q14" t="s">
        <v>70</v>
      </c>
      <c r="R14" t="s">
        <v>71</v>
      </c>
    </row>
    <row r="15" spans="1:24" ht="35.1" customHeight="1" x14ac:dyDescent="0.25">
      <c r="A15" s="93"/>
      <c r="B15" s="96"/>
      <c r="C15" s="47" t="s">
        <v>26</v>
      </c>
      <c r="D15" s="29">
        <v>86.7</v>
      </c>
      <c r="E15" s="30">
        <v>125.9</v>
      </c>
      <c r="F15" s="31">
        <f t="shared" ref="F15:G24" si="3">SUM(D15*1.2)</f>
        <v>104.04</v>
      </c>
      <c r="G15" s="32">
        <f t="shared" si="3"/>
        <v>151.08000000000001</v>
      </c>
      <c r="I15">
        <v>1.04</v>
      </c>
      <c r="J15" s="3">
        <f t="shared" si="2"/>
        <v>90.168000000000006</v>
      </c>
      <c r="L15" t="s">
        <v>68</v>
      </c>
      <c r="N15">
        <v>1338</v>
      </c>
      <c r="O15">
        <v>5556</v>
      </c>
      <c r="P15">
        <v>834</v>
      </c>
      <c r="Q15">
        <f>N15+O15+P15</f>
        <v>7728</v>
      </c>
      <c r="R15">
        <f>Q15*F21</f>
        <v>68624.639999999999</v>
      </c>
      <c r="T15" t="s">
        <v>64</v>
      </c>
      <c r="W15" t="s">
        <v>73</v>
      </c>
      <c r="X15">
        <f>P8+N11+N13+R15</f>
        <v>16625099.141360002</v>
      </c>
    </row>
    <row r="16" spans="1:24" ht="35.1" customHeight="1" x14ac:dyDescent="0.25">
      <c r="A16" s="93"/>
      <c r="B16" s="96"/>
      <c r="C16" s="47" t="s">
        <v>22</v>
      </c>
      <c r="D16" s="29">
        <v>28</v>
      </c>
      <c r="E16" s="30">
        <v>29.8</v>
      </c>
      <c r="F16" s="31">
        <f t="shared" si="3"/>
        <v>33.6</v>
      </c>
      <c r="G16" s="32">
        <f t="shared" si="3"/>
        <v>35.76</v>
      </c>
      <c r="I16">
        <v>1.04</v>
      </c>
      <c r="J16" s="3">
        <f t="shared" si="2"/>
        <v>29.12</v>
      </c>
      <c r="N16">
        <v>1338</v>
      </c>
      <c r="O16">
        <v>5556</v>
      </c>
      <c r="P16">
        <v>834</v>
      </c>
      <c r="Q16">
        <v>7728</v>
      </c>
      <c r="R16">
        <f>Q16*G21</f>
        <v>71987.247360000008</v>
      </c>
      <c r="T16">
        <f>R15+R16</f>
        <v>140611.88735999999</v>
      </c>
      <c r="W16" t="s">
        <v>74</v>
      </c>
      <c r="X16">
        <f>R8+P11+P13+R16</f>
        <v>20905373.526896</v>
      </c>
    </row>
    <row r="17" spans="1:26" s="7" customFormat="1" ht="35.1" customHeight="1" x14ac:dyDescent="0.25">
      <c r="A17" s="93"/>
      <c r="B17" s="96"/>
      <c r="C17" s="13" t="s">
        <v>34</v>
      </c>
      <c r="D17" s="33">
        <v>115</v>
      </c>
      <c r="E17" s="30">
        <f t="shared" ref="E17:E24" si="4">D17*1.049</f>
        <v>120.63499999999999</v>
      </c>
      <c r="F17" s="34">
        <f t="shared" si="3"/>
        <v>138</v>
      </c>
      <c r="G17" s="35">
        <f t="shared" si="3"/>
        <v>144.76199999999997</v>
      </c>
      <c r="H17" s="9"/>
      <c r="I17">
        <v>1.04</v>
      </c>
      <c r="J17" s="3">
        <f>D17*1.04</f>
        <v>119.60000000000001</v>
      </c>
      <c r="W17" s="7" t="s">
        <v>72</v>
      </c>
      <c r="X17" s="7">
        <f>T8+R11+R13+T16</f>
        <v>37530472.668256</v>
      </c>
      <c r="Z17" s="7">
        <f>X15+X16</f>
        <v>37530472.668256</v>
      </c>
    </row>
    <row r="18" spans="1:26" ht="35.1" customHeight="1" x14ac:dyDescent="0.25">
      <c r="A18" s="100"/>
      <c r="B18" s="101"/>
      <c r="C18" s="98" t="s">
        <v>20</v>
      </c>
      <c r="D18" s="29">
        <v>135</v>
      </c>
      <c r="E18" s="30">
        <f t="shared" si="4"/>
        <v>141.61499999999998</v>
      </c>
      <c r="F18" s="31">
        <f t="shared" si="3"/>
        <v>162</v>
      </c>
      <c r="G18" s="32">
        <f t="shared" si="3"/>
        <v>169.93799999999996</v>
      </c>
      <c r="H18" s="4"/>
      <c r="I18">
        <v>1.04</v>
      </c>
      <c r="J18" s="3">
        <f t="shared" si="2"/>
        <v>140.4</v>
      </c>
    </row>
    <row r="19" spans="1:26" s="7" customFormat="1" ht="35.1" customHeight="1" thickBot="1" x14ac:dyDescent="0.3">
      <c r="A19" s="94"/>
      <c r="B19" s="97"/>
      <c r="C19" s="99"/>
      <c r="D19" s="36">
        <v>114.3</v>
      </c>
      <c r="E19" s="30">
        <f t="shared" si="4"/>
        <v>119.90069999999999</v>
      </c>
      <c r="F19" s="37">
        <f t="shared" si="3"/>
        <v>137.16</v>
      </c>
      <c r="G19" s="38">
        <f t="shared" si="3"/>
        <v>143.88083999999998</v>
      </c>
      <c r="H19" s="9"/>
      <c r="I19">
        <v>1.04</v>
      </c>
      <c r="J19" s="3">
        <f t="shared" si="2"/>
        <v>118.872</v>
      </c>
    </row>
    <row r="20" spans="1:26" ht="35.1" customHeight="1" x14ac:dyDescent="0.25">
      <c r="A20" s="92" t="s">
        <v>43</v>
      </c>
      <c r="B20" s="95" t="s">
        <v>44</v>
      </c>
      <c r="C20" s="14" t="s">
        <v>21</v>
      </c>
      <c r="D20" s="39">
        <v>0</v>
      </c>
      <c r="E20" s="40">
        <f>I20*J20</f>
        <v>0</v>
      </c>
      <c r="F20" s="41">
        <f t="shared" si="3"/>
        <v>0</v>
      </c>
      <c r="G20" s="23">
        <f t="shared" si="3"/>
        <v>0</v>
      </c>
      <c r="I20">
        <v>1.04</v>
      </c>
      <c r="J20" s="3">
        <f t="shared" si="2"/>
        <v>0</v>
      </c>
    </row>
    <row r="21" spans="1:26" ht="35.1" customHeight="1" x14ac:dyDescent="0.25">
      <c r="A21" s="93"/>
      <c r="B21" s="96"/>
      <c r="C21" s="15" t="s">
        <v>26</v>
      </c>
      <c r="D21" s="29">
        <v>7.4</v>
      </c>
      <c r="E21" s="30">
        <f t="shared" si="4"/>
        <v>7.7625999999999999</v>
      </c>
      <c r="F21" s="42">
        <f t="shared" si="3"/>
        <v>8.8800000000000008</v>
      </c>
      <c r="G21" s="18">
        <f t="shared" si="3"/>
        <v>9.3151200000000003</v>
      </c>
      <c r="I21">
        <v>1.04</v>
      </c>
      <c r="J21" s="3">
        <f t="shared" si="2"/>
        <v>7.6960000000000006</v>
      </c>
    </row>
    <row r="22" spans="1:26" ht="35.1" customHeight="1" x14ac:dyDescent="0.25">
      <c r="A22" s="93"/>
      <c r="B22" s="96"/>
      <c r="C22" s="15" t="s">
        <v>22</v>
      </c>
      <c r="D22" s="29">
        <v>7.4</v>
      </c>
      <c r="E22" s="30">
        <f t="shared" si="4"/>
        <v>7.7625999999999999</v>
      </c>
      <c r="F22" s="42">
        <f t="shared" si="3"/>
        <v>8.8800000000000008</v>
      </c>
      <c r="G22" s="18">
        <f t="shared" si="3"/>
        <v>9.3151200000000003</v>
      </c>
      <c r="I22">
        <v>1.04</v>
      </c>
      <c r="J22" s="3">
        <f t="shared" si="2"/>
        <v>7.6960000000000006</v>
      </c>
    </row>
    <row r="23" spans="1:26" ht="35.1" customHeight="1" x14ac:dyDescent="0.25">
      <c r="A23" s="93"/>
      <c r="B23" s="96"/>
      <c r="C23" s="15" t="s">
        <v>34</v>
      </c>
      <c r="D23" s="29">
        <v>7.4</v>
      </c>
      <c r="E23" s="30">
        <f t="shared" si="4"/>
        <v>7.7625999999999999</v>
      </c>
      <c r="F23" s="42">
        <f t="shared" si="3"/>
        <v>8.8800000000000008</v>
      </c>
      <c r="G23" s="18">
        <f t="shared" si="3"/>
        <v>9.3151200000000003</v>
      </c>
      <c r="I23">
        <v>1.04</v>
      </c>
      <c r="J23" s="3">
        <f t="shared" si="2"/>
        <v>7.6960000000000006</v>
      </c>
    </row>
    <row r="24" spans="1:26" ht="35.1" customHeight="1" thickBot="1" x14ac:dyDescent="0.3">
      <c r="A24" s="94"/>
      <c r="B24" s="97"/>
      <c r="C24" s="16" t="s">
        <v>20</v>
      </c>
      <c r="D24" s="43">
        <v>7.4</v>
      </c>
      <c r="E24" s="30">
        <f t="shared" si="4"/>
        <v>7.7625999999999999</v>
      </c>
      <c r="F24" s="44">
        <f t="shared" si="3"/>
        <v>8.8800000000000008</v>
      </c>
      <c r="G24" s="20">
        <f t="shared" si="3"/>
        <v>9.3151200000000003</v>
      </c>
      <c r="I24">
        <v>1.04</v>
      </c>
      <c r="J24" s="3">
        <f t="shared" si="2"/>
        <v>7.6960000000000006</v>
      </c>
    </row>
    <row r="25" spans="1:26" ht="24.75" customHeight="1" x14ac:dyDescent="0.25">
      <c r="A25" s="92">
        <v>5</v>
      </c>
      <c r="B25" s="95" t="s">
        <v>82</v>
      </c>
      <c r="C25" s="14" t="s">
        <v>21</v>
      </c>
      <c r="D25" s="39">
        <v>0</v>
      </c>
      <c r="E25" s="21">
        <f>I25*J25</f>
        <v>0</v>
      </c>
      <c r="F25" s="23">
        <f t="shared" ref="F25:G26" si="5">SUM(D25*1.2)</f>
        <v>0</v>
      </c>
      <c r="G25" s="45">
        <f t="shared" ref="G25" si="6">SUM(E25*1.2)</f>
        <v>0</v>
      </c>
      <c r="I25">
        <v>1.04</v>
      </c>
      <c r="J25" s="3">
        <f t="shared" ref="J25:J29" si="7">D25*1.04</f>
        <v>0</v>
      </c>
    </row>
    <row r="26" spans="1:26" ht="27.75" customHeight="1" x14ac:dyDescent="0.25">
      <c r="A26" s="93"/>
      <c r="B26" s="96"/>
      <c r="C26" s="47" t="s">
        <v>26</v>
      </c>
      <c r="D26" s="29">
        <v>536.5</v>
      </c>
      <c r="E26" s="29">
        <v>572.1</v>
      </c>
      <c r="F26" s="18">
        <f t="shared" si="5"/>
        <v>643.79999999999995</v>
      </c>
      <c r="G26" s="18">
        <f t="shared" si="5"/>
        <v>686.52</v>
      </c>
      <c r="I26">
        <v>1.04</v>
      </c>
      <c r="J26" s="3">
        <f t="shared" si="7"/>
        <v>557.96</v>
      </c>
    </row>
    <row r="27" spans="1:26" ht="24.75" customHeight="1" x14ac:dyDescent="0.25">
      <c r="A27" s="93"/>
      <c r="B27" s="96"/>
      <c r="C27" s="47" t="s">
        <v>22</v>
      </c>
      <c r="D27" s="29">
        <v>536.5</v>
      </c>
      <c r="E27" s="29">
        <v>572.1</v>
      </c>
      <c r="F27" s="18">
        <f t="shared" ref="F27:F29" si="8">SUM(D27*1.2)</f>
        <v>643.79999999999995</v>
      </c>
      <c r="G27" s="18">
        <f t="shared" ref="G27:G29" si="9">SUM(E27*1.2)</f>
        <v>686.52</v>
      </c>
      <c r="I27">
        <v>1.04</v>
      </c>
      <c r="J27" s="3">
        <f t="shared" si="7"/>
        <v>557.96</v>
      </c>
    </row>
    <row r="28" spans="1:26" ht="30" customHeight="1" x14ac:dyDescent="0.25">
      <c r="A28" s="93"/>
      <c r="B28" s="96"/>
      <c r="C28" s="47" t="s">
        <v>34</v>
      </c>
      <c r="D28" s="29">
        <v>536.5</v>
      </c>
      <c r="E28" s="29">
        <v>572.1</v>
      </c>
      <c r="F28" s="18">
        <f t="shared" si="8"/>
        <v>643.79999999999995</v>
      </c>
      <c r="G28" s="18">
        <f t="shared" si="9"/>
        <v>686.52</v>
      </c>
      <c r="I28">
        <v>1.04</v>
      </c>
      <c r="J28" s="3">
        <f t="shared" si="7"/>
        <v>557.96</v>
      </c>
    </row>
    <row r="29" spans="1:26" ht="35.25" customHeight="1" thickBot="1" x14ac:dyDescent="0.3">
      <c r="A29" s="94"/>
      <c r="B29" s="97"/>
      <c r="C29" s="48" t="s">
        <v>20</v>
      </c>
      <c r="D29" s="29">
        <v>536.5</v>
      </c>
      <c r="E29" s="29">
        <v>572.1</v>
      </c>
      <c r="F29" s="18">
        <f t="shared" si="8"/>
        <v>643.79999999999995</v>
      </c>
      <c r="G29" s="18">
        <f t="shared" si="9"/>
        <v>686.52</v>
      </c>
      <c r="I29">
        <v>1.04</v>
      </c>
      <c r="J29" s="3">
        <f t="shared" si="7"/>
        <v>557.96</v>
      </c>
    </row>
  </sheetData>
  <mergeCells count="13">
    <mergeCell ref="A9:A13"/>
    <mergeCell ref="B9:B13"/>
    <mergeCell ref="A1:G1"/>
    <mergeCell ref="A2:G2"/>
    <mergeCell ref="A4:A8"/>
    <mergeCell ref="B4:B8"/>
    <mergeCell ref="A25:A29"/>
    <mergeCell ref="B25:B29"/>
    <mergeCell ref="C18:C19"/>
    <mergeCell ref="A20:A24"/>
    <mergeCell ref="B20:B24"/>
    <mergeCell ref="A14:A19"/>
    <mergeCell ref="B14:B19"/>
  </mergeCells>
  <phoneticPr fontId="6" type="noConversion"/>
  <printOptions horizontalCentered="1"/>
  <pageMargins left="0.31496062992125984" right="0.31496062992125984" top="0.47244094488188981" bottom="0.47244094488188981" header="0" footer="0"/>
  <pageSetup paperSize="9" scale="3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ЛИМИТЫ</vt:lpstr>
      <vt:lpstr>ТАРИФЫ</vt:lpstr>
      <vt:lpstr>ЛИМИТЫ!Заголовки_для_печати</vt:lpstr>
      <vt:lpstr>ЛИМИТЫ!Область_печати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 Дмитрий Валерьевич</dc:creator>
  <cp:lastModifiedBy>Свободный комп</cp:lastModifiedBy>
  <cp:lastPrinted>2024-02-20T06:01:25Z</cp:lastPrinted>
  <dcterms:created xsi:type="dcterms:W3CDTF">2016-11-22T02:25:12Z</dcterms:created>
  <dcterms:modified xsi:type="dcterms:W3CDTF">2024-02-20T06:01:54Z</dcterms:modified>
</cp:coreProperties>
</file>